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00" activeTab="2"/>
  </bookViews>
  <sheets>
    <sheet name="月繰" sheetId="1" r:id="rId1"/>
    <sheet name="日繰" sheetId="2" r:id="rId2"/>
    <sheet name="出納簿" sheetId="3" r:id="rId3"/>
    <sheet name="新口座" sheetId="4" r:id="rId4"/>
    <sheet name="予定入力" sheetId="5" r:id="rId5"/>
    <sheet name="取引リスト" sheetId="6" r:id="rId6"/>
    <sheet name="整然データとは" sheetId="7" r:id="rId7"/>
    <sheet name="Sheet2" sheetId="8" r:id="rId8"/>
  </sheets>
  <definedNames>
    <definedName name="_xlfn.IFERROR" hidden="1">#NAME?</definedName>
  </definedNames>
  <calcPr fullCalcOnLoad="1"/>
  <pivotCaches>
    <pivotCache cacheId="2" r:id="rId9"/>
    <pivotCache cacheId="3" r:id="rId10"/>
  </pivotCaches>
</workbook>
</file>

<file path=xl/sharedStrings.xml><?xml version="1.0" encoding="utf-8"?>
<sst xmlns="http://schemas.openxmlformats.org/spreadsheetml/2006/main" count="299" uniqueCount="156">
  <si>
    <t>日付</t>
  </si>
  <si>
    <t>取引内容</t>
  </si>
  <si>
    <t>金額（千円）</t>
  </si>
  <si>
    <t>資金収入</t>
  </si>
  <si>
    <t>資金支出</t>
  </si>
  <si>
    <t>残高</t>
  </si>
  <si>
    <t>手元資金10,000千円で商品販売の事業を立ち上げた。</t>
  </si>
  <si>
    <t>店舗を借りるために差入保証金1,500千円を現金で支払った。</t>
  </si>
  <si>
    <t>営業車の購入のために前金を現金で300千円渡した。</t>
  </si>
  <si>
    <t>従業員の給料300千円を振り込んだ。</t>
  </si>
  <si>
    <t>店舗の家賃250千円を振込で支払った。</t>
  </si>
  <si>
    <t>自分の給料500千円を振り込んだ。</t>
  </si>
  <si>
    <t>自社のホームページ立ち上げのために業者へ現金で100千円を支払った。</t>
  </si>
  <si>
    <t>9月4日仕入の代金を振込で支払った。</t>
  </si>
  <si>
    <t>ラジオCM費用を振込で支払った。</t>
  </si>
  <si>
    <t>営業車を受け取り残額の700千円を現金で支払った。</t>
  </si>
  <si>
    <t>月末資金が苦しいため9月受取の手形を割り引き3,948千円が入金された。</t>
  </si>
  <si>
    <t>10月2日仕入の代金を振込で支払った。</t>
  </si>
  <si>
    <t>月末資金が苦しいため10月受取の手形を割り引き5,076千円が入金された。</t>
  </si>
  <si>
    <t>11月1日仕入の代金を振込で支払った。</t>
  </si>
  <si>
    <t>12月1日仕入の代金を振込で支払った。</t>
  </si>
  <si>
    <t>月末資金が苦しいため11月受取の手形を割り引き5,640千円が入金された。</t>
  </si>
  <si>
    <t>1月5日仕入の代金を振込で支払った。</t>
  </si>
  <si>
    <t>資本金</t>
  </si>
  <si>
    <t>資本金</t>
  </si>
  <si>
    <t>項目</t>
  </si>
  <si>
    <t>取引相手</t>
  </si>
  <si>
    <t>従業員</t>
  </si>
  <si>
    <t>従業員</t>
  </si>
  <si>
    <t>御池モーター</t>
  </si>
  <si>
    <t>御池モーター</t>
  </si>
  <si>
    <t>烏丸印刷</t>
  </si>
  <si>
    <t>烏丸印刷</t>
  </si>
  <si>
    <t>三条広告社</t>
  </si>
  <si>
    <t>三条広告社</t>
  </si>
  <si>
    <t>西洞院不動産</t>
  </si>
  <si>
    <t>西洞院不動産</t>
  </si>
  <si>
    <t>西洞院不動産</t>
  </si>
  <si>
    <t>西洞院不動産</t>
  </si>
  <si>
    <t>地代家賃</t>
  </si>
  <si>
    <t>地代家賃</t>
  </si>
  <si>
    <t>固定資産</t>
  </si>
  <si>
    <t>固定資産</t>
  </si>
  <si>
    <t>値</t>
  </si>
  <si>
    <t>月</t>
  </si>
  <si>
    <t>日</t>
  </si>
  <si>
    <t>区分</t>
  </si>
  <si>
    <t>区分</t>
  </si>
  <si>
    <t>人件費</t>
  </si>
  <si>
    <t>人件費</t>
  </si>
  <si>
    <t>その他経費</t>
  </si>
  <si>
    <t>その他経費</t>
  </si>
  <si>
    <t>行ラベル</t>
  </si>
  <si>
    <t>総計</t>
  </si>
  <si>
    <t>仕入</t>
  </si>
  <si>
    <t>仕入</t>
  </si>
  <si>
    <t>役員借入</t>
  </si>
  <si>
    <t>役員借入</t>
  </si>
  <si>
    <t>役員借入</t>
  </si>
  <si>
    <t>収支</t>
  </si>
  <si>
    <t>収支</t>
  </si>
  <si>
    <t>合計 / 値2</t>
  </si>
  <si>
    <t>列ラベル</t>
  </si>
  <si>
    <t>残高</t>
  </si>
  <si>
    <t>月</t>
  </si>
  <si>
    <t>A.経常収支</t>
  </si>
  <si>
    <t>A.経常収支</t>
  </si>
  <si>
    <t>C.財務収支</t>
  </si>
  <si>
    <t>C.財務収支</t>
  </si>
  <si>
    <t>B.非経常収支</t>
  </si>
  <si>
    <t>B.非経常収支</t>
  </si>
  <si>
    <t>1.収入</t>
  </si>
  <si>
    <t>1.収入 集計</t>
  </si>
  <si>
    <t>2.支出</t>
  </si>
  <si>
    <t>2.支出 集計</t>
  </si>
  <si>
    <t>A.経常収支 集計</t>
  </si>
  <si>
    <t>B.非経常収支 集計</t>
  </si>
  <si>
    <t>C.財務収支 集計</t>
  </si>
  <si>
    <t>B.非経常収支</t>
  </si>
  <si>
    <t>残高</t>
  </si>
  <si>
    <t>西洞院不動産保証金</t>
  </si>
  <si>
    <t>その他</t>
  </si>
  <si>
    <t>その他</t>
  </si>
  <si>
    <t>月末資金が苦しいため役員借入を500千円おこなった。</t>
  </si>
  <si>
    <t>売上(手形)</t>
  </si>
  <si>
    <t>丸太町商店</t>
  </si>
  <si>
    <t>六角物産</t>
  </si>
  <si>
    <t>六角物産</t>
  </si>
  <si>
    <t>丸太町商店</t>
  </si>
  <si>
    <t>区分</t>
  </si>
  <si>
    <t>項目</t>
  </si>
  <si>
    <t>支払日</t>
  </si>
  <si>
    <t>末</t>
  </si>
  <si>
    <t>銀行借入</t>
  </si>
  <si>
    <t>その他経費</t>
  </si>
  <si>
    <t>銀行返済</t>
  </si>
  <si>
    <t>条件</t>
  </si>
  <si>
    <t>売上</t>
  </si>
  <si>
    <t>仕入</t>
  </si>
  <si>
    <t>六角物産</t>
  </si>
  <si>
    <t>姉小路商事</t>
  </si>
  <si>
    <t>費用</t>
  </si>
  <si>
    <t>役員報酬</t>
  </si>
  <si>
    <t>従業員</t>
  </si>
  <si>
    <t>役員報酬</t>
  </si>
  <si>
    <t>役員報酬</t>
  </si>
  <si>
    <t>金融</t>
  </si>
  <si>
    <t>役員借入</t>
  </si>
  <si>
    <t>役員返済</t>
  </si>
  <si>
    <t>年</t>
  </si>
  <si>
    <t>日</t>
  </si>
  <si>
    <t>現金売上</t>
  </si>
  <si>
    <t>現金売上</t>
  </si>
  <si>
    <t>売上(現金)</t>
  </si>
  <si>
    <t>売上(現金)</t>
  </si>
  <si>
    <t>堀川銀行借入</t>
  </si>
  <si>
    <t>堀川銀行利息</t>
  </si>
  <si>
    <t>堀川銀行返済</t>
  </si>
  <si>
    <t>投資</t>
  </si>
  <si>
    <t>四条工務店</t>
  </si>
  <si>
    <t>売上(手形)</t>
  </si>
  <si>
    <t>役員返済</t>
  </si>
  <si>
    <t>日/曜</t>
  </si>
  <si>
    <t>↑出納簿を利用した資金繰り</t>
  </si>
  <si>
    <t>↓予定入力による資金繰り</t>
  </si>
  <si>
    <t>末</t>
  </si>
  <si>
    <t>取引</t>
  </si>
  <si>
    <t>口座</t>
  </si>
  <si>
    <t>つばめ銀行</t>
  </si>
  <si>
    <t>堀川銀行移動</t>
  </si>
  <si>
    <t>資金移動</t>
  </si>
  <si>
    <t>堀川銀行移動</t>
  </si>
  <si>
    <t>資金移動</t>
  </si>
  <si>
    <t>すずめコーポレーション</t>
  </si>
  <si>
    <t>つばめ銀行移動</t>
  </si>
  <si>
    <t>すずめコーポレーション</t>
  </si>
  <si>
    <t>05(土)</t>
  </si>
  <si>
    <t>15(火)</t>
  </si>
  <si>
    <t>20(日)</t>
  </si>
  <si>
    <t>31(木)</t>
  </si>
  <si>
    <t>現預金出納簿</t>
  </si>
  <si>
    <t>会計ソフト</t>
  </si>
  <si>
    <t>自計化</t>
  </si>
  <si>
    <t>質問１</t>
  </si>
  <si>
    <t>記帳代行</t>
  </si>
  <si>
    <t>質問2</t>
  </si>
  <si>
    <t>質問3</t>
  </si>
  <si>
    <t>その他</t>
  </si>
  <si>
    <t>会計がきちんとできているところでも、資金繰の管理ができていないところが多い。</t>
  </si>
  <si>
    <t>儲かっていても、資金繰りの失敗による倒産もありえる。</t>
  </si>
  <si>
    <t>商工リサーチによると2017年8376件の倒産中、3875件が黒字倒産</t>
  </si>
  <si>
    <t>会計</t>
  </si>
  <si>
    <t>作っている</t>
  </si>
  <si>
    <t>作っていない</t>
  </si>
  <si>
    <t>資金繰予定表</t>
  </si>
  <si>
    <t>口座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</si>
</sst>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\△#,##0"/>
    <numFmt numFmtId="178" formatCode="0&quot;月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Arial"/>
      <family val="2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0"/>
      <color indexed="8"/>
      <name val="Arial"/>
      <family val="2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9"/>
      <name val="Meiryo UI"/>
      <family val="3"/>
    </font>
    <font>
      <sz val="32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5" fillId="33" borderId="10" xfId="61" applyFont="1" applyFill="1" applyBorder="1" applyAlignment="1">
      <alignment horizontal="center" vertical="center"/>
      <protection/>
    </xf>
    <xf numFmtId="176" fontId="45" fillId="33" borderId="10" xfId="61" applyNumberFormat="1" applyFont="1" applyFill="1" applyBorder="1" applyAlignment="1">
      <alignment horizontal="center" vertical="center"/>
      <protection/>
    </xf>
    <xf numFmtId="56" fontId="45" fillId="33" borderId="10" xfId="61" applyNumberFormat="1" applyFont="1" applyFill="1" applyBorder="1">
      <alignment vertical="center"/>
      <protection/>
    </xf>
    <xf numFmtId="0" fontId="45" fillId="33" borderId="10" xfId="61" applyFont="1" applyFill="1" applyBorder="1">
      <alignment vertical="center"/>
      <protection/>
    </xf>
    <xf numFmtId="176" fontId="45" fillId="33" borderId="10" xfId="61" applyNumberFormat="1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7" fontId="38" fillId="0" borderId="11" xfId="0" applyNumberFormat="1" applyFont="1" applyBorder="1" applyAlignment="1">
      <alignment vertical="center"/>
    </xf>
    <xf numFmtId="177" fontId="38" fillId="0" borderId="12" xfId="0" applyNumberFormat="1" applyFont="1" applyBorder="1" applyAlignment="1">
      <alignment vertical="center"/>
    </xf>
    <xf numFmtId="176" fontId="45" fillId="6" borderId="10" xfId="61" applyNumberFormat="1" applyFont="1" applyFill="1" applyBorder="1" applyAlignment="1">
      <alignment horizontal="center" vertical="center"/>
      <protection/>
    </xf>
    <xf numFmtId="176" fontId="0" fillId="6" borderId="10" xfId="0" applyNumberFormat="1" applyFill="1" applyBorder="1" applyAlignment="1">
      <alignment vertical="center"/>
    </xf>
    <xf numFmtId="178" fontId="0" fillId="6" borderId="10" xfId="0" applyNumberForma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56" fontId="45" fillId="7" borderId="10" xfId="61" applyNumberFormat="1" applyFont="1" applyFill="1" applyBorder="1">
      <alignment vertical="center"/>
      <protection/>
    </xf>
    <xf numFmtId="0" fontId="45" fillId="7" borderId="10" xfId="61" applyFont="1" applyFill="1" applyBorder="1">
      <alignment vertical="center"/>
      <protection/>
    </xf>
    <xf numFmtId="176" fontId="45" fillId="7" borderId="10" xfId="61" applyNumberFormat="1" applyFont="1" applyFill="1" applyBorder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77" fontId="0" fillId="4" borderId="10" xfId="49" applyNumberFormat="1" applyFont="1" applyFill="1" applyBorder="1" applyAlignment="1">
      <alignment vertical="center"/>
    </xf>
    <xf numFmtId="177" fontId="0" fillId="0" borderId="10" xfId="49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6" borderId="10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right" vertical="center"/>
    </xf>
    <xf numFmtId="177" fontId="0" fillId="34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38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horizontal="right" vertical="center"/>
    </xf>
    <xf numFmtId="0" fontId="38" fillId="34" borderId="15" xfId="0" applyFont="1" applyFill="1" applyBorder="1" applyAlignment="1">
      <alignment vertical="center"/>
    </xf>
    <xf numFmtId="56" fontId="0" fillId="6" borderId="1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5" fillId="6" borderId="10" xfId="61" applyFont="1" applyFill="1" applyBorder="1" applyAlignment="1">
      <alignment horizontal="center" vertical="center"/>
      <protection/>
    </xf>
    <xf numFmtId="56" fontId="45" fillId="6" borderId="10" xfId="61" applyNumberFormat="1" applyFont="1" applyFill="1" applyBorder="1">
      <alignment vertical="center"/>
      <protection/>
    </xf>
    <xf numFmtId="56" fontId="45" fillId="5" borderId="10" xfId="61" applyNumberFormat="1" applyFont="1" applyFill="1" applyBorder="1">
      <alignment vertical="center"/>
      <protection/>
    </xf>
    <xf numFmtId="176" fontId="0" fillId="5" borderId="10" xfId="0" applyNumberFormat="1" applyFill="1" applyBorder="1" applyAlignment="1">
      <alignment vertical="center"/>
    </xf>
    <xf numFmtId="0" fontId="0" fillId="5" borderId="10" xfId="49" applyNumberFormat="1" applyFont="1" applyFill="1" applyBorder="1" applyAlignment="1">
      <alignment vertical="center"/>
    </xf>
    <xf numFmtId="178" fontId="0" fillId="5" borderId="10" xfId="0" applyNumberFormat="1" applyFill="1" applyBorder="1" applyAlignment="1">
      <alignment vertical="center"/>
    </xf>
    <xf numFmtId="176" fontId="0" fillId="5" borderId="10" xfId="0" applyNumberFormat="1" applyFill="1" applyBorder="1" applyAlignment="1">
      <alignment horizontal="right" vertical="center"/>
    </xf>
    <xf numFmtId="0" fontId="0" fillId="5" borderId="10" xfId="0" applyFill="1" applyBorder="1" applyAlignment="1">
      <alignment vertical="center"/>
    </xf>
    <xf numFmtId="56" fontId="0" fillId="5" borderId="10" xfId="0" applyNumberFormat="1" applyFill="1" applyBorder="1" applyAlignment="1">
      <alignment vertical="center"/>
    </xf>
    <xf numFmtId="0" fontId="38" fillId="0" borderId="16" xfId="0" applyFont="1" applyBorder="1" applyAlignment="1">
      <alignment horizontal="right" vertical="center"/>
    </xf>
    <xf numFmtId="176" fontId="45" fillId="6" borderId="17" xfId="61" applyNumberFormat="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left" vertical="center"/>
    </xf>
    <xf numFmtId="0" fontId="0" fillId="5" borderId="10" xfId="49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0"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/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900072813034"/>
        </left>
        <right style="thin">
          <color theme="0" tint="-0.1499900072813034"/>
        </right>
        <top style="hair">
          <color theme="0" tint="-0.4999699890613556"/>
        </top>
        <bottom style="hair">
          <color theme="0" tint="-0.4999699890613556"/>
        </bottom>
      </border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7999799847602844"/>
        </patternFill>
      </fill>
    </dxf>
    <dxf>
      <numFmt numFmtId="177" formatCode="#,##0;\△#,##0"/>
      <border/>
    </dxf>
    <dxf>
      <fill>
        <patternFill patternType="solid">
          <bgColor rgb="FFFFFF00"/>
        </patternFill>
      </fill>
      <border/>
    </dxf>
    <dxf>
      <alignment horizontal="right"/>
      <border/>
    </dxf>
    <dxf>
      <alignment horizontal="center"/>
      <border/>
    </dxf>
  </dxfs>
  <tableStyles count="1" defaultTableStyle="TableStyleMedium2" defaultPivotStyle="PivotStyleLight16">
    <tableStyle name="PivotStyleLight8 2" table="0" count="12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  <tableStyleElement type="firstSubtotalRow" dxfId="4"/>
      <tableStyleElement type="secondSubtotalRow" dxfId="3"/>
      <tableStyleElement type="secondColumnSubheading" dxfId="2"/>
      <tableStyleElement type="firstRowSubheading" dxfId="1"/>
      <tableStyleElement type="secondRowSubheading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104775</xdr:colOff>
      <xdr:row>19</xdr:row>
      <xdr:rowOff>142875</xdr:rowOff>
    </xdr:to>
    <xdr:pic>
      <xdr:nvPicPr>
        <xdr:cNvPr id="1" name="図 1" descr="天気の記録をデータにした例。人間にとっては分かりやすい形をしているが、整然ではない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9815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142875</xdr:rowOff>
    </xdr:from>
    <xdr:to>
      <xdr:col>17</xdr:col>
      <xdr:colOff>581025</xdr:colOff>
      <xdr:row>41</xdr:row>
      <xdr:rowOff>171450</xdr:rowOff>
    </xdr:to>
    <xdr:pic>
      <xdr:nvPicPr>
        <xdr:cNvPr id="2" name="図 2" descr="天気の記録をデータにした例。これは整然である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142875"/>
          <a:ext cx="4210050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20</xdr:row>
      <xdr:rowOff>0</xdr:rowOff>
    </xdr:from>
    <xdr:to>
      <xdr:col>8</xdr:col>
      <xdr:colOff>257175</xdr:colOff>
      <xdr:row>26</xdr:row>
      <xdr:rowOff>171450</xdr:rowOff>
    </xdr:to>
    <xdr:sp>
      <xdr:nvSpPr>
        <xdr:cNvPr id="3" name="吹き出し: 角を丸めた四角形 4"/>
        <xdr:cNvSpPr>
          <a:spLocks/>
        </xdr:cNvSpPr>
      </xdr:nvSpPr>
      <xdr:spPr>
        <a:xfrm>
          <a:off x="1000125" y="3810000"/>
          <a:ext cx="4133850" cy="1314450"/>
        </a:xfrm>
        <a:prstGeom prst="wedgeRoundRectCallout">
          <a:avLst>
            <a:gd name="adj1" fmla="val -33222"/>
            <a:gd name="adj2" fmla="val -76259"/>
          </a:avLst>
        </a:prstGeom>
        <a:noFill/>
        <a:ln w="254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人間にとってわかりやすいが、整然データではない。</a:t>
          </a:r>
        </a:p>
      </xdr:txBody>
    </xdr:sp>
    <xdr:clientData/>
  </xdr:twoCellAnchor>
  <xdr:twoCellAnchor>
    <xdr:from>
      <xdr:col>4</xdr:col>
      <xdr:colOff>333375</xdr:colOff>
      <xdr:row>32</xdr:row>
      <xdr:rowOff>104775</xdr:rowOff>
    </xdr:from>
    <xdr:to>
      <xdr:col>11</xdr:col>
      <xdr:colOff>190500</xdr:colOff>
      <xdr:row>39</xdr:row>
      <xdr:rowOff>85725</xdr:rowOff>
    </xdr:to>
    <xdr:sp>
      <xdr:nvSpPr>
        <xdr:cNvPr id="4" name="吹き出し: 角を丸めた四角形 5"/>
        <xdr:cNvSpPr>
          <a:spLocks/>
        </xdr:cNvSpPr>
      </xdr:nvSpPr>
      <xdr:spPr>
        <a:xfrm>
          <a:off x="2771775" y="6200775"/>
          <a:ext cx="4124325" cy="1314450"/>
        </a:xfrm>
        <a:prstGeom prst="wedgeRoundRectCallout">
          <a:avLst>
            <a:gd name="adj1" fmla="val 44949"/>
            <a:gd name="adj2" fmla="val -97226"/>
          </a:avLst>
        </a:prstGeom>
        <a:noFill/>
        <a:ln w="254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整然データの例。</a:t>
          </a:r>
        </a:p>
      </xdr:txBody>
    </xdr:sp>
    <xdr:clientData/>
  </xdr:twoCellAnchor>
  <xdr:twoCellAnchor>
    <xdr:from>
      <xdr:col>18</xdr:col>
      <xdr:colOff>400050</xdr:colOff>
      <xdr:row>2</xdr:row>
      <xdr:rowOff>9525</xdr:rowOff>
    </xdr:from>
    <xdr:to>
      <xdr:col>28</xdr:col>
      <xdr:colOff>419100</xdr:colOff>
      <xdr:row>38</xdr:row>
      <xdr:rowOff>76200</xdr:rowOff>
    </xdr:to>
    <xdr:sp>
      <xdr:nvSpPr>
        <xdr:cNvPr id="5" name="吹き出し: 角を丸めた四角形 6"/>
        <xdr:cNvSpPr>
          <a:spLocks/>
        </xdr:cNvSpPr>
      </xdr:nvSpPr>
      <xdr:spPr>
        <a:xfrm>
          <a:off x="11372850" y="390525"/>
          <a:ext cx="6115050" cy="6924675"/>
        </a:xfrm>
        <a:prstGeom prst="wedgeRoundRectCallout">
          <a:avLst>
            <a:gd name="adj1" fmla="val 5717"/>
            <a:gd name="adj2" fmla="val -38351"/>
          </a:avLst>
        </a:prstGeom>
        <a:solidFill>
          <a:srgbClr val="F2F2F2"/>
        </a:solidFill>
        <a:ln w="254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※</a:t>
          </a:r>
          <a:r>
            <a:rPr lang="en-US" cap="none" sz="3200" b="0" i="0" u="none" baseline="0">
              <a:solidFill>
                <a:srgbClr val="000000"/>
              </a:solidFill>
            </a:rPr>
            <a:t>データ数や観測地点が増えたら、下に追加する。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※</a:t>
          </a:r>
          <a:r>
            <a:rPr lang="en-US" cap="none" sz="3200" b="0" i="0" u="none" baseline="0">
              <a:solidFill>
                <a:srgbClr val="000000"/>
              </a:solidFill>
            </a:rPr>
            <a:t>観測項目が増える場合は、横に列を増やす。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※</a:t>
          </a:r>
          <a:r>
            <a:rPr lang="en-US" cap="none" sz="3200" b="0" i="0" u="none" baseline="0">
              <a:solidFill>
                <a:srgbClr val="000000"/>
              </a:solidFill>
            </a:rPr>
            <a:t>フィルター、並び替え、小計、グラフ、ピボットテーブルが使いやすくなる。</a:t>
          </a:r>
          <a:r>
            <a:rPr lang="en-US" cap="none" sz="3200" b="0" i="0" u="none" baseline="0">
              <a:solidFill>
                <a:srgbClr val="000000"/>
              </a:solidFill>
            </a:rPr>
            <a:t> 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たとえば、観測時間が増えたら、</a:t>
          </a:r>
          <a:r>
            <a:rPr lang="en-US" cap="none" sz="3200" b="0" i="0" u="none" baseline="0">
              <a:solidFill>
                <a:srgbClr val="000000"/>
              </a:solidFill>
            </a:rPr>
            <a:t>6</a:t>
          </a:r>
          <a:r>
            <a:rPr lang="en-US" cap="none" sz="3200" b="0" i="0" u="none" baseline="0">
              <a:solidFill>
                <a:srgbClr val="000000"/>
              </a:solidFill>
            </a:rPr>
            <a:t>時と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</a:rPr>
            <a:t>時の間に列を挿入したり、気温も観測するとなったら、入力に苦労しますが、整然データでは一番下か一番右に追加するだけです。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65536" sheet="出納簿"/>
  </cacheSource>
  <cacheFields count="16">
    <cacheField name="日付">
      <sharedItems containsDate="1" containsMixedTypes="1"/>
    </cacheField>
    <cacheField name="取引相手">
      <sharedItems containsMixedTypes="0"/>
    </cacheField>
    <cacheField name="取引内容">
      <sharedItems containsMixedTypes="0"/>
    </cacheField>
    <cacheField name="金額（千円）">
      <sharedItems containsMixedTypes="1" containsNumber="1" containsInteger="1"/>
    </cacheField>
    <cacheField name="資金収入">
      <sharedItems containsMixedTypes="1" containsNumber="1" containsInteger="1"/>
    </cacheField>
    <cacheField name="資金支出">
      <sharedItems containsMixedTypes="1" containsNumber="1" containsInteger="1"/>
    </cacheField>
    <cacheField name="残高">
      <sharedItems containsMixedTypes="1" containsNumber="1" containsInteger="1"/>
    </cacheField>
    <cacheField name="区分">
      <sharedItems containsBlank="1" containsMixedTypes="0" count="17">
        <s v="資本金"/>
        <s v="その他"/>
        <s v="固定資産"/>
        <s v="人件費"/>
        <s v="地代家賃"/>
        <s v="その他経費"/>
        <s v="仕入"/>
        <s v="売上(手形)"/>
        <s v="役員借入"/>
        <s v="売上(現金)"/>
        <e v="#N/A"/>
        <s v="役員返済"/>
        <s v="銀行借入"/>
        <s v="銀行返済"/>
        <m/>
        <s v="区分"/>
        <s v="資金移動"/>
      </sharedItems>
    </cacheField>
    <cacheField name="項目">
      <sharedItems containsBlank="1" containsMixedTypes="0" count="6">
        <s v="B.非経常収支"/>
        <s v="A.経常収支"/>
        <s v="C.財務収支"/>
        <e v="#N/A"/>
        <m/>
        <s v="項目"/>
      </sharedItems>
    </cacheField>
    <cacheField name="値">
      <sharedItems containsMixedTypes="1" containsNumber="1" containsInteger="1"/>
    </cacheField>
    <cacheField name="年">
      <sharedItems containsMixedTypes="1" containsNumber="1" containsInteger="1"/>
    </cacheField>
    <cacheField name="月">
      <sharedItems containsString="0" containsBlank="1" containsMixedTypes="0" containsNumber="1" containsInteger="1" count="13">
        <n v="9"/>
        <n v="10"/>
        <n v="11"/>
        <n v="12"/>
        <n v="1"/>
        <n v="2"/>
        <n v="3"/>
        <n v="4"/>
        <n v="5"/>
        <n v="6"/>
        <n v="7"/>
        <n v="8"/>
        <m/>
      </sharedItems>
    </cacheField>
    <cacheField name="日">
      <sharedItems containsMixedTypes="1" containsNumber="1" containsInteger="1"/>
    </cacheField>
    <cacheField name="収支">
      <sharedItems containsBlank="1" containsMixedTypes="0" count="5">
        <s v="1.収入"/>
        <s v="2.支出"/>
        <s v=""/>
        <m/>
        <s v="収支"/>
      </sharedItems>
    </cacheField>
    <cacheField name="日/曜">
      <sharedItems containsMixedTypes="0"/>
    </cacheField>
    <cacheField name="口座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48" sheet="出納簿"/>
  </cacheSource>
  <cacheFields count="15">
    <cacheField name="日付">
      <sharedItems containsDate="1" containsMixedTypes="1"/>
    </cacheField>
    <cacheField name="取引相手">
      <sharedItems containsMixedTypes="0"/>
    </cacheField>
    <cacheField name="取引内容">
      <sharedItems containsMixedTypes="0"/>
    </cacheField>
    <cacheField name="金額（千円）">
      <sharedItems containsMixedTypes="1" containsNumber="1" containsInteger="1"/>
    </cacheField>
    <cacheField name="資金収入">
      <sharedItems containsMixedTypes="1" containsNumber="1" containsInteger="1"/>
    </cacheField>
    <cacheField name="資金支出">
      <sharedItems containsMixedTypes="1" containsNumber="1" containsInteger="1"/>
    </cacheField>
    <cacheField name="残高">
      <sharedItems containsMixedTypes="1" containsNumber="1" containsInteger="1"/>
    </cacheField>
    <cacheField name="区分">
      <sharedItems containsMixedTypes="0" count="14">
        <s v="資本金"/>
        <s v="その他"/>
        <s v="固定資産"/>
        <s v="人件費"/>
        <s v="地代家賃"/>
        <s v="その他経費"/>
        <s v="仕入"/>
        <s v="売上(手形)"/>
        <s v="役員借入"/>
        <s v="売上(現金)"/>
        <e v="#N/A"/>
        <s v="役員返済"/>
        <s v="銀行借入"/>
        <s v="銀行返済"/>
      </sharedItems>
    </cacheField>
    <cacheField name="項目">
      <sharedItems containsMixedTypes="0" count="4">
        <s v="B.非経常収支"/>
        <s v="A.経常収支"/>
        <s v="C.財務収支"/>
        <e v="#N/A"/>
      </sharedItems>
    </cacheField>
    <cacheField name="値2">
      <sharedItems containsSemiMixedTypes="0" containsString="0" containsMixedTypes="0" containsNumber="1" containsInteger="1"/>
    </cacheField>
    <cacheField name="年">
      <sharedItems containsSemiMixedTypes="0" containsString="0" containsMixedTypes="0" containsNumber="1" containsInteger="1"/>
    </cacheField>
    <cacheField name="月">
      <sharedItems containsSemiMixedTypes="0" containsString="0" containsMixedTypes="0" containsNumber="1" containsInteger="1" count="12">
        <n v="9"/>
        <n v="10"/>
        <n v="11"/>
        <n v="12"/>
        <n v="1"/>
        <n v="2"/>
        <n v="3"/>
        <n v="4"/>
        <n v="5"/>
        <n v="6"/>
        <n v="7"/>
        <n v="8"/>
      </sharedItems>
    </cacheField>
    <cacheField name="日">
      <sharedItems containsMixedTypes="1" containsNumber="1" containsInteger="1"/>
    </cacheField>
    <cacheField name="収支">
      <sharedItems containsMixedTypes="0" count="3">
        <s v="1.収入"/>
        <s v="2.支出"/>
        <s v=""/>
      </sharedItems>
    </cacheField>
    <cacheField name="日/曜">
      <sharedItems containsMixedTypes="0" count="93">
        <s v="01(金)"/>
        <s v="15(金)"/>
        <s v="20(水)"/>
        <s v="29(金)"/>
        <s v="11(水)"/>
        <s v="20(金)"/>
        <s v="31(火)"/>
        <s v="09(木)"/>
        <s v="20(月)"/>
        <s v="24(金)"/>
        <s v="30(木)"/>
        <s v="25(月)"/>
        <s v="19(金)"/>
        <s v="26(金)"/>
        <s v="31(水)"/>
        <s v="20(火)"/>
        <s v="23(金)"/>
        <s v="28(水)"/>
        <s v="05(月)"/>
        <s v="25(日)"/>
        <e v="#VALUE!"/>
        <s v="31(土)"/>
        <s v="15(木)"/>
        <s v="01(木)"/>
        <s v="10(土)"/>
        <s v="05(木)"/>
        <s v="25(水)"/>
        <s v="30(月)"/>
        <s v="15(日)"/>
        <s v="01(日)"/>
        <s v="10(火)"/>
        <s v="05(土)"/>
        <s v="25(金)"/>
        <s v="31(木)"/>
        <s v="15(火)"/>
        <s v="20(日)"/>
        <s v="01(火)"/>
        <s v="10(木)"/>
        <s v="05(火)"/>
        <s v="30(土)"/>
        <s v="10(日)"/>
        <s v="05(日)"/>
        <s v="25(土)"/>
        <s v="31(金)"/>
        <s v="15(水)"/>
        <s v="01(水)"/>
        <s v="10(金)"/>
        <s v="15水"/>
        <s v="30(金)"/>
        <s v="19金"/>
        <s v="05火"/>
        <s v="15木"/>
        <s v="25日"/>
        <s v="10日"/>
        <s v="31水"/>
        <s v="20金"/>
        <s v="30月"/>
        <s v="31土"/>
        <s v="05月"/>
        <s v="31木"/>
        <s v="26金"/>
        <s v="30水"/>
        <s v="20火"/>
        <s v="28水"/>
        <s v="30土"/>
        <s v="30木"/>
        <s v="05土"/>
        <s v="05木"/>
        <s v="15日"/>
        <s v="25金"/>
        <s v="10金"/>
        <s v="20月"/>
        <s v="01金"/>
        <s v="20水"/>
        <s v="24金"/>
        <s v="10火"/>
        <s v="05日"/>
        <s v="11水"/>
        <s v="15金"/>
        <s v="25月"/>
        <s v="23金"/>
        <s v="31金"/>
        <s v="09木"/>
        <s v="25水"/>
        <s v="29金"/>
        <s v="15火"/>
        <s v="25土"/>
        <s v="10土"/>
        <s v="10木"/>
        <s v="20日"/>
        <s v="30(水)"/>
        <s v="30金"/>
        <s v="31火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ピボットテーブル2" cacheId="3" applyNumberFormats="0" applyBorderFormats="0" applyFontFormats="0" applyPatternFormats="0" applyAlignmentFormats="0" applyWidthHeightFormats="0" dataCaption="値" showMissing="1" showItems="0" preserveFormatting="1" useAutoFormatting="1" itemPrintTitles="1" compactData="0" updatedVersion="2" indent="0" showMemberPropertyTips="1">
  <location ref="A4:P26" firstHeaderRow="1" firstDataRow="2" firstDataCol="3"/>
  <pivotFields count="16">
    <pivotField subtotalTop="0" showAll="0" numFmtId="56"/>
    <pivotField outline="0" subtotalTop="0" showAll="0" defaultSubtotal="0"/>
    <pivotField subtotalTop="0" showAll="0"/>
    <pivotField subtotalTop="0" showAll="0" numFmtId="176"/>
    <pivotField subtotalTop="0" showAll="0"/>
    <pivotField subtotalTop="0" showAll="0"/>
    <pivotField subtotalTop="0" showAll="0" numFmtId="176"/>
    <pivotField axis="axisRow" subtotalTop="0" showAll="0">
      <items count="18">
        <item x="1"/>
        <item x="12"/>
        <item x="13"/>
        <item x="2"/>
        <item x="6"/>
        <item x="0"/>
        <item x="3"/>
        <item x="4"/>
        <item x="9"/>
        <item x="7"/>
        <item x="8"/>
        <item x="11"/>
        <item x="10"/>
        <item x="14"/>
        <item x="5"/>
        <item m="1" x="15"/>
        <item m="1" x="16"/>
        <item t="default"/>
      </items>
    </pivotField>
    <pivotField axis="axisRow" outline="0" subtotalTop="0" showAll="0" sortType="ascending">
      <items count="7">
        <item x="1"/>
        <item x="0"/>
        <item x="2"/>
        <item h="1" m="1" x="5"/>
        <item h="1" x="3"/>
        <item h="1" x="4"/>
        <item t="default"/>
      </items>
    </pivotField>
    <pivotField dataField="1" subtotalTop="0" showAll="0" name="値2"/>
    <pivotField showAll="0" defaultSubtotal="0"/>
    <pivotField axis="axisCol" subtotalTop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</items>
    </pivotField>
    <pivotField subtotalTop="0" showAll="0"/>
    <pivotField axis="axisRow" outline="0" showAll="0">
      <items count="6">
        <item x="0"/>
        <item x="1"/>
        <item h="1" x="3"/>
        <item h="1" x="2"/>
        <item h="1" m="1" x="4"/>
        <item t="default"/>
      </items>
    </pivotField>
    <pivotField subtotalTop="0" showAll="0" defaultSubtotal="0"/>
    <pivotField subtotalTop="0" showAll="0" defaultSubtotal="0"/>
  </pivotFields>
  <rowFields count="3">
    <field x="8"/>
    <field x="13"/>
    <field x="7"/>
  </rowFields>
  <rowItems count="21">
    <i>
      <x/>
      <x/>
      <x v="8"/>
    </i>
    <i r="2">
      <x v="9"/>
    </i>
    <i t="default" r="1">
      <x/>
    </i>
    <i r="1">
      <x v="1"/>
      <x v="4"/>
    </i>
    <i r="2">
      <x v="6"/>
    </i>
    <i r="2">
      <x v="7"/>
    </i>
    <i r="2">
      <x v="14"/>
    </i>
    <i t="default" r="1">
      <x v="1"/>
    </i>
    <i t="default">
      <x/>
    </i>
    <i>
      <x v="1"/>
      <x/>
      <x v="5"/>
    </i>
    <i t="default" r="1">
      <x/>
    </i>
    <i r="1">
      <x v="1"/>
      <x/>
    </i>
    <i r="2">
      <x v="3"/>
    </i>
    <i t="default" r="1">
      <x v="1"/>
    </i>
    <i t="default">
      <x v="1"/>
    </i>
    <i>
      <x v="2"/>
      <x/>
      <x v="10"/>
    </i>
    <i t="default" r="1">
      <x/>
    </i>
    <i r="1">
      <x v="1"/>
      <x v="11"/>
    </i>
    <i t="default" r="1">
      <x v="1"/>
    </i>
    <i t="default">
      <x v="2"/>
    </i>
    <i t="grand">
      <x/>
    </i>
  </rowItems>
  <colFields count="1">
    <field x="1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合計 / 値2" fld="9" baseField="7" baseItem="6"/>
  </dataFields>
  <formats count="1">
    <format dxfId="36">
      <pivotArea outline="0" fieldPosition="0"/>
    </format>
  </formats>
  <pivotTableStyleInfo name="PivotStyleLight8 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2" cacheId="2" applyNumberFormats="0" applyBorderFormats="0" applyFontFormats="0" applyPatternFormats="0" applyAlignmentFormats="0" applyWidthHeightFormats="0" dataCaption="値" showMissing="1" preserveFormatting="1" useAutoFormatting="1" itemPrintTitles="1" compactData="0" updatedVersion="2" indent="0" showMemberPropertyTips="1">
  <location ref="A4:H16" firstHeaderRow="1" firstDataRow="2" firstDataCol="3" rowPageCount="1" colPageCount="1"/>
  <pivotFields count="15">
    <pivotField subtotalTop="0" showAll="0" numFmtId="56" defaultSubtotal="0"/>
    <pivotField outline="0" subtotalTop="0" showAll="0" defaultSubtotal="0"/>
    <pivotField subtotalTop="0" showAll="0"/>
    <pivotField subtotalTop="0" showAll="0" numFmtId="176"/>
    <pivotField subtotalTop="0" showAll="0"/>
    <pivotField subtotalTop="0" showAll="0"/>
    <pivotField subtotalTop="0" showAll="0" numFmtId="176"/>
    <pivotField axis="axisRow" subtotalTop="0" showAll="0">
      <items count="15">
        <item x="5"/>
        <item x="2"/>
        <item x="6"/>
        <item x="0"/>
        <item x="3"/>
        <item x="4"/>
        <item x="8"/>
        <item x="1"/>
        <item x="7"/>
        <item x="9"/>
        <item x="10"/>
        <item x="11"/>
        <item x="12"/>
        <item x="13"/>
        <item t="default"/>
      </items>
    </pivotField>
    <pivotField axis="axisRow" outline="0" subtotalTop="0" showAll="0" sortType="ascending">
      <items count="5">
        <item x="1"/>
        <item x="0"/>
        <item x="2"/>
        <item x="3"/>
        <item t="default"/>
      </items>
    </pivotField>
    <pivotField dataField="1" subtotalTop="0" showAll="0" numFmtId="176"/>
    <pivotField showAll="0"/>
    <pivotField axis="axisPage" subtotalTop="0" showAll="0" defaultSubtotal="0">
      <items count="12">
        <item x="4"/>
        <item x="5"/>
        <item x="0"/>
        <item x="1"/>
        <item x="2"/>
        <item x="3"/>
        <item x="6"/>
        <item x="7"/>
        <item x="8"/>
        <item x="9"/>
        <item x="10"/>
        <item x="11"/>
      </items>
    </pivotField>
    <pivotField subtotalTop="0" showAll="0" sortType="ascending"/>
    <pivotField axis="axisRow" outline="0" showAll="0">
      <items count="4">
        <item x="0"/>
        <item x="1"/>
        <item h="1" x="2"/>
        <item t="default"/>
      </items>
    </pivotField>
    <pivotField axis="axisCol" showAll="0" sortType="ascending">
      <items count="94">
        <item x="36"/>
        <item x="0"/>
        <item x="45"/>
        <item x="29"/>
        <item x="23"/>
        <item m="1" x="72"/>
        <item x="38"/>
        <item x="18"/>
        <item x="31"/>
        <item x="41"/>
        <item x="25"/>
        <item m="1" x="50"/>
        <item m="1" x="58"/>
        <item m="1" x="66"/>
        <item m="1" x="76"/>
        <item m="1" x="67"/>
        <item x="7"/>
        <item m="1" x="82"/>
        <item x="30"/>
        <item x="46"/>
        <item x="24"/>
        <item x="40"/>
        <item x="37"/>
        <item m="1" x="75"/>
        <item m="1" x="70"/>
        <item m="1" x="87"/>
        <item m="1" x="53"/>
        <item m="1" x="88"/>
        <item x="4"/>
        <item m="1" x="77"/>
        <item x="34"/>
        <item x="1"/>
        <item x="44"/>
        <item x="28"/>
        <item x="22"/>
        <item m="1" x="85"/>
        <item m="1" x="78"/>
        <item m="1" x="47"/>
        <item m="1" x="68"/>
        <item m="1" x="51"/>
        <item x="12"/>
        <item m="1" x="49"/>
        <item x="15"/>
        <item x="5"/>
        <item x="8"/>
        <item x="2"/>
        <item x="35"/>
        <item m="1" x="62"/>
        <item m="1" x="55"/>
        <item m="1" x="71"/>
        <item m="1" x="73"/>
        <item m="1" x="89"/>
        <item x="16"/>
        <item m="1" x="80"/>
        <item x="9"/>
        <item m="1" x="74"/>
        <item x="32"/>
        <item x="11"/>
        <item x="26"/>
        <item x="42"/>
        <item x="19"/>
        <item m="1" x="69"/>
        <item m="1" x="79"/>
        <item m="1" x="83"/>
        <item m="1" x="86"/>
        <item m="1" x="52"/>
        <item x="13"/>
        <item m="1" x="60"/>
        <item x="17"/>
        <item m="1" x="63"/>
        <item x="3"/>
        <item m="1" x="84"/>
        <item m="1" x="48"/>
        <item x="27"/>
        <item m="1" x="90"/>
        <item x="39"/>
        <item x="10"/>
        <item m="1" x="91"/>
        <item m="1" x="56"/>
        <item m="1" x="61"/>
        <item m="1" x="64"/>
        <item m="1" x="65"/>
        <item x="6"/>
        <item x="43"/>
        <item x="14"/>
        <item x="21"/>
        <item x="33"/>
        <item m="1" x="92"/>
        <item m="1" x="81"/>
        <item m="1" x="54"/>
        <item m="1" x="57"/>
        <item m="1" x="59"/>
        <item x="20"/>
        <item t="default"/>
      </items>
    </pivotField>
  </pivotFields>
  <rowFields count="3">
    <field x="8"/>
    <field x="13"/>
    <field x="7"/>
  </rowFields>
  <rowItems count="11">
    <i>
      <x/>
      <x/>
      <x v="8"/>
    </i>
    <i t="default" r="1">
      <x/>
    </i>
    <i r="1">
      <x v="1"/>
      <x v="2"/>
    </i>
    <i r="2">
      <x v="4"/>
    </i>
    <i r="2">
      <x v="5"/>
    </i>
    <i t="default" r="1">
      <x v="1"/>
    </i>
    <i t="default">
      <x/>
    </i>
    <i>
      <x v="1"/>
      <x v="1"/>
      <x v="1"/>
    </i>
    <i t="default" r="1">
      <x v="1"/>
    </i>
    <i t="default">
      <x v="1"/>
    </i>
    <i t="grand">
      <x/>
    </i>
  </rowItems>
  <colFields count="1">
    <field x="14"/>
  </colFields>
  <colItems count="5">
    <i>
      <x v="8"/>
    </i>
    <i>
      <x v="30"/>
    </i>
    <i>
      <x v="46"/>
    </i>
    <i>
      <x v="86"/>
    </i>
    <i t="grand">
      <x/>
    </i>
  </colItems>
  <pageFields count="1">
    <pageField fld="11" item="8" hier="0"/>
  </pageFields>
  <dataFields count="1">
    <dataField name="合計 / 値2" fld="9" baseField="0" baseItem="0" numFmtId="177"/>
  </dataFields>
  <formats count="5">
    <format dxfId="36">
      <pivotArea outline="0" fieldPosition="0"/>
    </format>
    <format dxfId="37">
      <pivotArea outline="0" fieldPosition="0" dataOnly="0" labelOnly="1">
        <references count="1">
          <reference field="11" count="1">
            <x v="0"/>
          </reference>
        </references>
      </pivotArea>
    </format>
    <format dxfId="38">
      <pivotArea outline="0" fieldPosition="0" axis="axisPage" dataOnly="0" field="11" labelOnly="1" type="button"/>
    </format>
    <format dxfId="39">
      <pivotArea outline="0" fieldPosition="0" dataOnly="0" labelOnly="1">
        <references count="1">
          <reference field="14" count="3">
            <x v="40"/>
            <x v="66"/>
            <x v="84"/>
          </reference>
        </references>
      </pivotArea>
    </format>
    <format dxfId="39">
      <pivotArea outline="0" fieldPosition="0" dataOnly="0" grandCol="1" labelOnly="1"/>
    </format>
  </formats>
  <pivotTableStyleInfo name="PivotStyleLight8 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8.00390625" style="0" bestFit="1" customWidth="1"/>
    <col min="2" max="2" width="11.421875" style="0" bestFit="1" customWidth="1"/>
    <col min="3" max="3" width="11.00390625" style="0" bestFit="1" customWidth="1"/>
    <col min="4" max="4" width="11.28125" style="0" bestFit="1" customWidth="1"/>
    <col min="5" max="15" width="8.57421875" style="0" bestFit="1" customWidth="1"/>
    <col min="16" max="16" width="9.7109375" style="0" bestFit="1" customWidth="1"/>
    <col min="17" max="18" width="10.00390625" style="0" bestFit="1" customWidth="1"/>
    <col min="19" max="24" width="8.8515625" style="0" bestFit="1" customWidth="1"/>
    <col min="25" max="25" width="7.7109375" style="0" bestFit="1" customWidth="1"/>
    <col min="26" max="28" width="8.8515625" style="0" bestFit="1" customWidth="1"/>
    <col min="29" max="29" width="7.7109375" style="0" bestFit="1" customWidth="1"/>
    <col min="30" max="31" width="8.8515625" style="0" bestFit="1" customWidth="1"/>
    <col min="32" max="32" width="8.57421875" style="0" bestFit="1" customWidth="1"/>
    <col min="33" max="36" width="8.8515625" style="0" bestFit="1" customWidth="1"/>
    <col min="37" max="37" width="7.7109375" style="0" bestFit="1" customWidth="1"/>
    <col min="38" max="41" width="8.8515625" style="0" bestFit="1" customWidth="1"/>
    <col min="42" max="42" width="7.7109375" style="0" bestFit="1" customWidth="1"/>
    <col min="43" max="47" width="8.8515625" style="0" bestFit="1" customWidth="1"/>
    <col min="48" max="48" width="7.7109375" style="0" bestFit="1" customWidth="1"/>
    <col min="49" max="53" width="8.8515625" style="0" bestFit="1" customWidth="1"/>
    <col min="54" max="54" width="9.7109375" style="0" bestFit="1" customWidth="1"/>
    <col min="55" max="55" width="8.57421875" style="0" bestFit="1" customWidth="1"/>
    <col min="56" max="56" width="9.7109375" style="0" bestFit="1" customWidth="1"/>
    <col min="57" max="57" width="6.7109375" style="0" bestFit="1" customWidth="1"/>
    <col min="58" max="58" width="7.00390625" style="0" bestFit="1" customWidth="1"/>
    <col min="59" max="60" width="8.57421875" style="0" bestFit="1" customWidth="1"/>
    <col min="61" max="61" width="6.7109375" style="0" bestFit="1" customWidth="1"/>
    <col min="62" max="62" width="8.57421875" style="0" bestFit="1" customWidth="1"/>
    <col min="63" max="63" width="7.00390625" style="0" bestFit="1" customWidth="1"/>
    <col min="64" max="64" width="6.7109375" style="0" bestFit="1" customWidth="1"/>
    <col min="65" max="65" width="7.00390625" style="0" bestFit="1" customWidth="1"/>
    <col min="66" max="67" width="8.57421875" style="0" bestFit="1" customWidth="1"/>
    <col min="68" max="68" width="9.7109375" style="0" bestFit="1" customWidth="1"/>
  </cols>
  <sheetData>
    <row r="1" spans="2:15" ht="19.5" thickBot="1">
      <c r="B1" s="31" t="s">
        <v>79</v>
      </c>
      <c r="C1" s="32">
        <v>0</v>
      </c>
      <c r="D1" s="30">
        <f aca="true" t="shared" si="0" ref="D1:N1">IF(ISERROR(GETPIVOTDATA("値2",$A$4,"月",D5)),"-",C1+GETPIVOTDATA("値2",$A$4,"月",D5))</f>
        <v>7150</v>
      </c>
      <c r="E1" s="9">
        <f t="shared" si="0"/>
        <v>2850</v>
      </c>
      <c r="F1" s="9">
        <f t="shared" si="0"/>
        <v>2048</v>
      </c>
      <c r="G1" s="9">
        <f t="shared" si="0"/>
        <v>3674</v>
      </c>
      <c r="H1" s="9">
        <f t="shared" si="0"/>
        <v>924</v>
      </c>
      <c r="I1" s="9">
        <f t="shared" si="0"/>
        <v>3114</v>
      </c>
      <c r="J1" s="9">
        <f t="shared" si="0"/>
        <v>4664</v>
      </c>
      <c r="K1" s="9">
        <f t="shared" si="0"/>
        <v>6914</v>
      </c>
      <c r="L1" s="9">
        <f t="shared" si="0"/>
        <v>-1536</v>
      </c>
      <c r="M1" s="9">
        <f t="shared" si="0"/>
        <v>-486</v>
      </c>
      <c r="N1" s="9">
        <f t="shared" si="0"/>
        <v>564</v>
      </c>
      <c r="O1" s="10">
        <f>IF(ISERROR(GETPIVOTDATA("値2",$A$4,"月",O5)),"-",N1+GETPIVOTDATA("値2",$A$4,"月",O5))</f>
        <v>1614</v>
      </c>
    </row>
    <row r="2" spans="2:15" ht="18.75"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4" spans="1:4" ht="18.75">
      <c r="A4" s="6" t="s">
        <v>61</v>
      </c>
      <c r="D4" s="6" t="s">
        <v>62</v>
      </c>
    </row>
    <row r="5" spans="1:16" ht="18.75">
      <c r="A5" s="6" t="s">
        <v>52</v>
      </c>
      <c r="B5" s="6" t="s">
        <v>59</v>
      </c>
      <c r="C5" s="6" t="s">
        <v>46</v>
      </c>
      <c r="D5">
        <v>9</v>
      </c>
      <c r="E5">
        <v>10</v>
      </c>
      <c r="F5">
        <v>11</v>
      </c>
      <c r="G5">
        <v>12</v>
      </c>
      <c r="H5">
        <v>1</v>
      </c>
      <c r="I5">
        <v>2</v>
      </c>
      <c r="J5">
        <v>3</v>
      </c>
      <c r="K5">
        <v>4</v>
      </c>
      <c r="L5">
        <v>5</v>
      </c>
      <c r="M5">
        <v>6</v>
      </c>
      <c r="N5">
        <v>7</v>
      </c>
      <c r="O5">
        <v>8</v>
      </c>
      <c r="P5" t="s">
        <v>53</v>
      </c>
    </row>
    <row r="6" spans="1:16" ht="18.75">
      <c r="A6" s="7" t="s">
        <v>65</v>
      </c>
      <c r="B6" s="7" t="s">
        <v>71</v>
      </c>
      <c r="C6" s="7" t="s">
        <v>113</v>
      </c>
      <c r="D6" s="8"/>
      <c r="E6" s="8"/>
      <c r="F6" s="8"/>
      <c r="G6" s="8"/>
      <c r="H6" s="8"/>
      <c r="I6" s="8"/>
      <c r="J6" s="8"/>
      <c r="K6" s="8"/>
      <c r="L6" s="8"/>
      <c r="M6" s="8">
        <v>5000</v>
      </c>
      <c r="N6" s="8">
        <v>5000</v>
      </c>
      <c r="O6" s="8">
        <v>5000</v>
      </c>
      <c r="P6" s="8">
        <v>15000</v>
      </c>
    </row>
    <row r="7" spans="3:16" ht="18.75">
      <c r="C7" s="7" t="s">
        <v>120</v>
      </c>
      <c r="D7" s="8"/>
      <c r="E7" s="8"/>
      <c r="F7" s="8">
        <v>3948</v>
      </c>
      <c r="G7" s="8">
        <v>5076</v>
      </c>
      <c r="H7" s="8"/>
      <c r="I7" s="8">
        <v>5640</v>
      </c>
      <c r="J7" s="8">
        <v>6000</v>
      </c>
      <c r="K7" s="8">
        <v>6000</v>
      </c>
      <c r="L7" s="8">
        <v>3600</v>
      </c>
      <c r="M7" s="8">
        <v>3600</v>
      </c>
      <c r="N7" s="8">
        <v>3600</v>
      </c>
      <c r="O7" s="8">
        <v>3600</v>
      </c>
      <c r="P7" s="8">
        <v>41064</v>
      </c>
    </row>
    <row r="8" spans="2:16" ht="18.75">
      <c r="B8" s="7" t="s">
        <v>72</v>
      </c>
      <c r="D8" s="8"/>
      <c r="E8" s="8"/>
      <c r="F8" s="8">
        <v>3948</v>
      </c>
      <c r="G8" s="8">
        <v>5076</v>
      </c>
      <c r="H8" s="8"/>
      <c r="I8" s="8">
        <v>5640</v>
      </c>
      <c r="J8" s="8">
        <v>6000</v>
      </c>
      <c r="K8" s="8">
        <v>6000</v>
      </c>
      <c r="L8" s="8">
        <v>3600</v>
      </c>
      <c r="M8" s="8">
        <v>8600</v>
      </c>
      <c r="N8" s="8">
        <v>8600</v>
      </c>
      <c r="O8" s="8">
        <v>8600</v>
      </c>
      <c r="P8" s="8">
        <v>56064</v>
      </c>
    </row>
    <row r="9" spans="2:16" ht="18.75">
      <c r="B9" s="7" t="s">
        <v>73</v>
      </c>
      <c r="C9" s="7" t="s">
        <v>54</v>
      </c>
      <c r="D9" s="8"/>
      <c r="E9" s="8">
        <v>-3000</v>
      </c>
      <c r="F9" s="8">
        <v>-3000</v>
      </c>
      <c r="G9" s="8">
        <v>-2400</v>
      </c>
      <c r="H9" s="8">
        <v>-2700</v>
      </c>
      <c r="I9" s="8">
        <v>-2400</v>
      </c>
      <c r="J9" s="8">
        <v>-2400</v>
      </c>
      <c r="K9" s="8">
        <v>-2400</v>
      </c>
      <c r="L9" s="8">
        <v>-5400</v>
      </c>
      <c r="M9" s="8">
        <v>-5900</v>
      </c>
      <c r="N9" s="8">
        <v>-5900</v>
      </c>
      <c r="O9" s="8">
        <v>-5900</v>
      </c>
      <c r="P9" s="8">
        <v>-41400</v>
      </c>
    </row>
    <row r="10" spans="3:16" ht="18.75">
      <c r="C10" s="7" t="s">
        <v>48</v>
      </c>
      <c r="D10" s="8">
        <v>-800</v>
      </c>
      <c r="E10" s="8">
        <v>-800</v>
      </c>
      <c r="F10" s="8">
        <v>-800</v>
      </c>
      <c r="G10" s="8">
        <v>-800</v>
      </c>
      <c r="H10" s="8">
        <v>-800</v>
      </c>
      <c r="I10" s="8">
        <v>-800</v>
      </c>
      <c r="J10" s="8">
        <v>-800</v>
      </c>
      <c r="K10" s="8">
        <v>-1100</v>
      </c>
      <c r="L10" s="8">
        <v>-1400</v>
      </c>
      <c r="M10" s="8">
        <v>-1400</v>
      </c>
      <c r="N10" s="8">
        <v>-1400</v>
      </c>
      <c r="O10" s="8">
        <v>-1400</v>
      </c>
      <c r="P10" s="8">
        <v>-12300</v>
      </c>
    </row>
    <row r="11" spans="3:16" ht="18.75">
      <c r="C11" s="7" t="s">
        <v>39</v>
      </c>
      <c r="D11" s="8">
        <v>-250</v>
      </c>
      <c r="E11" s="8">
        <v>-250</v>
      </c>
      <c r="F11" s="8">
        <v>-250</v>
      </c>
      <c r="G11" s="8">
        <v>-250</v>
      </c>
      <c r="H11" s="8">
        <v>-250</v>
      </c>
      <c r="I11" s="8">
        <v>-250</v>
      </c>
      <c r="J11" s="8">
        <v>-250</v>
      </c>
      <c r="K11" s="8">
        <v>-250</v>
      </c>
      <c r="L11" s="8">
        <v>-250</v>
      </c>
      <c r="M11" s="8">
        <v>-250</v>
      </c>
      <c r="N11" s="8">
        <v>-250</v>
      </c>
      <c r="O11" s="8">
        <v>-250</v>
      </c>
      <c r="P11" s="8">
        <v>-3000</v>
      </c>
    </row>
    <row r="12" spans="3:16" ht="18.75">
      <c r="C12" s="7" t="s">
        <v>50</v>
      </c>
      <c r="D12" s="8"/>
      <c r="E12" s="8">
        <v>-250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-250</v>
      </c>
    </row>
    <row r="13" spans="2:16" ht="18.75">
      <c r="B13" s="7" t="s">
        <v>74</v>
      </c>
      <c r="D13" s="8">
        <v>-1050</v>
      </c>
      <c r="E13" s="8">
        <v>-4300</v>
      </c>
      <c r="F13" s="8">
        <v>-4050</v>
      </c>
      <c r="G13" s="8">
        <v>-3450</v>
      </c>
      <c r="H13" s="8">
        <v>-3750</v>
      </c>
      <c r="I13" s="8">
        <v>-3450</v>
      </c>
      <c r="J13" s="8">
        <v>-3450</v>
      </c>
      <c r="K13" s="8">
        <v>-3750</v>
      </c>
      <c r="L13" s="8">
        <v>-7050</v>
      </c>
      <c r="M13" s="8">
        <v>-7550</v>
      </c>
      <c r="N13" s="8">
        <v>-7550</v>
      </c>
      <c r="O13" s="8">
        <v>-7550</v>
      </c>
      <c r="P13" s="8">
        <v>-56950</v>
      </c>
    </row>
    <row r="14" spans="1:16" ht="18.75">
      <c r="A14" s="7" t="s">
        <v>75</v>
      </c>
      <c r="D14" s="8">
        <v>-1050</v>
      </c>
      <c r="E14" s="8">
        <v>-4300</v>
      </c>
      <c r="F14" s="8">
        <v>-102</v>
      </c>
      <c r="G14" s="8">
        <v>1626</v>
      </c>
      <c r="H14" s="8">
        <v>-3750</v>
      </c>
      <c r="I14" s="8">
        <v>2190</v>
      </c>
      <c r="J14" s="8">
        <v>2550</v>
      </c>
      <c r="K14" s="8">
        <v>2250</v>
      </c>
      <c r="L14" s="8">
        <v>-3450</v>
      </c>
      <c r="M14" s="8">
        <v>1050</v>
      </c>
      <c r="N14" s="8">
        <v>1050</v>
      </c>
      <c r="O14" s="8">
        <v>1050</v>
      </c>
      <c r="P14" s="8">
        <v>-886</v>
      </c>
    </row>
    <row r="15" spans="1:16" ht="18.75">
      <c r="A15" s="7" t="s">
        <v>69</v>
      </c>
      <c r="B15" s="7" t="s">
        <v>71</v>
      </c>
      <c r="C15" s="7" t="s">
        <v>23</v>
      </c>
      <c r="D15" s="8">
        <v>10000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10000</v>
      </c>
    </row>
    <row r="16" spans="2:16" ht="18.75">
      <c r="B16" s="7" t="s">
        <v>72</v>
      </c>
      <c r="D16" s="8">
        <v>10000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10000</v>
      </c>
    </row>
    <row r="17" spans="2:16" ht="18.75">
      <c r="B17" s="7" t="s">
        <v>73</v>
      </c>
      <c r="C17" s="7" t="s">
        <v>81</v>
      </c>
      <c r="D17" s="8">
        <v>-1500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-1500</v>
      </c>
    </row>
    <row r="18" spans="3:16" ht="18.75">
      <c r="C18" s="7" t="s">
        <v>41</v>
      </c>
      <c r="D18" s="8">
        <v>-300</v>
      </c>
      <c r="E18" s="8"/>
      <c r="F18" s="8">
        <v>-700</v>
      </c>
      <c r="G18" s="8"/>
      <c r="H18" s="8"/>
      <c r="I18" s="8"/>
      <c r="J18" s="8"/>
      <c r="K18" s="8"/>
      <c r="L18" s="8">
        <v>-5000</v>
      </c>
      <c r="M18" s="8"/>
      <c r="N18" s="8"/>
      <c r="O18" s="8"/>
      <c r="P18" s="8">
        <v>-6000</v>
      </c>
    </row>
    <row r="19" spans="2:16" ht="18.75">
      <c r="B19" s="7" t="s">
        <v>74</v>
      </c>
      <c r="D19" s="8">
        <v>-1800</v>
      </c>
      <c r="E19" s="8"/>
      <c r="F19" s="8">
        <v>-700</v>
      </c>
      <c r="G19" s="8"/>
      <c r="H19" s="8"/>
      <c r="I19" s="8"/>
      <c r="J19" s="8"/>
      <c r="K19" s="8"/>
      <c r="L19" s="8">
        <v>-5000</v>
      </c>
      <c r="M19" s="8"/>
      <c r="N19" s="8"/>
      <c r="O19" s="8"/>
      <c r="P19" s="8">
        <v>-7500</v>
      </c>
    </row>
    <row r="20" spans="1:16" ht="18.75">
      <c r="A20" s="7" t="s">
        <v>76</v>
      </c>
      <c r="D20" s="8">
        <v>8200</v>
      </c>
      <c r="E20" s="8"/>
      <c r="F20" s="8">
        <v>-700</v>
      </c>
      <c r="G20" s="8"/>
      <c r="H20" s="8"/>
      <c r="I20" s="8"/>
      <c r="J20" s="8"/>
      <c r="K20" s="8"/>
      <c r="L20" s="8">
        <v>-5000</v>
      </c>
      <c r="M20" s="8"/>
      <c r="N20" s="8"/>
      <c r="O20" s="8"/>
      <c r="P20" s="8">
        <v>2500</v>
      </c>
    </row>
    <row r="21" spans="1:16" ht="18.75">
      <c r="A21" s="7" t="s">
        <v>67</v>
      </c>
      <c r="B21" s="7" t="s">
        <v>71</v>
      </c>
      <c r="C21" s="7" t="s">
        <v>56</v>
      </c>
      <c r="D21" s="8"/>
      <c r="E21" s="8"/>
      <c r="F21" s="8"/>
      <c r="G21" s="8"/>
      <c r="H21" s="8">
        <v>1000</v>
      </c>
      <c r="I21" s="8"/>
      <c r="J21" s="8"/>
      <c r="K21" s="8"/>
      <c r="L21" s="8"/>
      <c r="M21" s="8"/>
      <c r="N21" s="8"/>
      <c r="O21" s="8"/>
      <c r="P21" s="8">
        <v>1000</v>
      </c>
    </row>
    <row r="22" spans="2:16" ht="18.75">
      <c r="B22" s="7" t="s">
        <v>72</v>
      </c>
      <c r="D22" s="8"/>
      <c r="E22" s="8"/>
      <c r="F22" s="8"/>
      <c r="G22" s="8"/>
      <c r="H22" s="8">
        <v>1000</v>
      </c>
      <c r="I22" s="8"/>
      <c r="J22" s="8"/>
      <c r="K22" s="8"/>
      <c r="L22" s="8"/>
      <c r="M22" s="8"/>
      <c r="N22" s="8"/>
      <c r="O22" s="8"/>
      <c r="P22" s="8">
        <v>1000</v>
      </c>
    </row>
    <row r="23" spans="2:16" ht="18.75">
      <c r="B23" s="7" t="s">
        <v>73</v>
      </c>
      <c r="C23" s="7" t="s">
        <v>121</v>
      </c>
      <c r="D23" s="8"/>
      <c r="E23" s="8"/>
      <c r="F23" s="8"/>
      <c r="G23" s="8"/>
      <c r="H23" s="8"/>
      <c r="I23" s="8"/>
      <c r="J23" s="8">
        <v>-1000</v>
      </c>
      <c r="K23" s="8"/>
      <c r="L23" s="8"/>
      <c r="M23" s="8"/>
      <c r="N23" s="8"/>
      <c r="O23" s="8"/>
      <c r="P23" s="8">
        <v>-1000</v>
      </c>
    </row>
    <row r="24" spans="2:16" ht="19.5" thickBot="1">
      <c r="B24" s="7" t="s">
        <v>74</v>
      </c>
      <c r="D24" s="8"/>
      <c r="E24" s="8"/>
      <c r="F24" s="8"/>
      <c r="G24" s="8"/>
      <c r="H24" s="8"/>
      <c r="I24" s="8"/>
      <c r="J24" s="8">
        <v>-1000</v>
      </c>
      <c r="K24" s="8"/>
      <c r="L24" s="8"/>
      <c r="M24" s="8"/>
      <c r="N24" s="8"/>
      <c r="O24" s="8"/>
      <c r="P24" s="8">
        <v>-1000</v>
      </c>
    </row>
    <row r="25" spans="1:16" ht="19.5" thickBot="1">
      <c r="A25" s="7" t="s">
        <v>77</v>
      </c>
      <c r="D25" s="8"/>
      <c r="E25" s="8"/>
      <c r="F25" s="8"/>
      <c r="G25" s="8"/>
      <c r="H25" s="8">
        <v>1000</v>
      </c>
      <c r="I25" s="8"/>
      <c r="J25" s="8">
        <v>-1000</v>
      </c>
      <c r="K25" s="8"/>
      <c r="L25" s="8"/>
      <c r="M25" s="8"/>
      <c r="N25" s="8"/>
      <c r="O25" s="8"/>
      <c r="P25" s="8">
        <v>0</v>
      </c>
    </row>
    <row r="26" spans="1:16" ht="18.75">
      <c r="A26" s="7" t="s">
        <v>53</v>
      </c>
      <c r="D26" s="8">
        <v>7150</v>
      </c>
      <c r="E26" s="8">
        <v>-4300</v>
      </c>
      <c r="F26" s="8">
        <v>-802</v>
      </c>
      <c r="G26" s="8">
        <v>1626</v>
      </c>
      <c r="H26" s="8">
        <v>-2750</v>
      </c>
      <c r="I26" s="8">
        <v>2190</v>
      </c>
      <c r="J26" s="8">
        <v>1550</v>
      </c>
      <c r="K26" s="8">
        <v>2250</v>
      </c>
      <c r="L26" s="8">
        <v>-8450</v>
      </c>
      <c r="M26" s="8">
        <v>1050</v>
      </c>
      <c r="N26" s="8">
        <v>1050</v>
      </c>
      <c r="O26" s="8">
        <v>1050</v>
      </c>
      <c r="P26" s="8">
        <v>1614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8.00390625" style="0" bestFit="1" customWidth="1"/>
    <col min="2" max="2" width="11.421875" style="0" bestFit="1" customWidth="1"/>
    <col min="3" max="3" width="10.421875" style="0" bestFit="1" customWidth="1"/>
    <col min="4" max="4" width="11.28125" style="0" bestFit="1" customWidth="1"/>
    <col min="5" max="5" width="8.57421875" style="0" bestFit="1" customWidth="1"/>
    <col min="6" max="6" width="7.421875" style="0" bestFit="1" customWidth="1"/>
    <col min="7" max="9" width="8.57421875" style="0" bestFit="1" customWidth="1"/>
    <col min="10" max="11" width="7.421875" style="0" bestFit="1" customWidth="1"/>
    <col min="12" max="15" width="8.57421875" style="0" bestFit="1" customWidth="1"/>
    <col min="16" max="17" width="7.421875" style="0" bestFit="1" customWidth="1"/>
    <col min="18" max="20" width="8.57421875" style="0" bestFit="1" customWidth="1"/>
    <col min="21" max="23" width="7.421875" style="0" bestFit="1" customWidth="1"/>
    <col min="24" max="24" width="7.8515625" style="0" bestFit="1" customWidth="1"/>
    <col min="25" max="27" width="7.421875" style="0" bestFit="1" customWidth="1"/>
    <col min="28" max="29" width="8.57421875" style="0" bestFit="1" customWidth="1"/>
    <col min="30" max="30" width="7.421875" style="0" bestFit="1" customWidth="1"/>
    <col min="31" max="31" width="8.57421875" style="0" bestFit="1" customWidth="1"/>
    <col min="32" max="32" width="7.421875" style="0" bestFit="1" customWidth="1"/>
    <col min="33" max="39" width="8.57421875" style="0" bestFit="1" customWidth="1"/>
    <col min="40" max="40" width="9.8515625" style="0" bestFit="1" customWidth="1"/>
    <col min="41" max="41" width="9.7109375" style="0" bestFit="1" customWidth="1"/>
    <col min="42" max="42" width="7.421875" style="0" bestFit="1" customWidth="1"/>
    <col min="43" max="43" width="8.57421875" style="0" bestFit="1" customWidth="1"/>
    <col min="44" max="46" width="7.421875" style="0" bestFit="1" customWidth="1"/>
    <col min="47" max="47" width="8.57421875" style="0" bestFit="1" customWidth="1"/>
    <col min="48" max="48" width="7.421875" style="0" bestFit="1" customWidth="1"/>
    <col min="49" max="49" width="8.57421875" style="0" bestFit="1" customWidth="1"/>
    <col min="50" max="52" width="7.421875" style="0" bestFit="1" customWidth="1"/>
    <col min="53" max="53" width="8.57421875" style="0" bestFit="1" customWidth="1"/>
    <col min="54" max="54" width="9.7109375" style="0" bestFit="1" customWidth="1"/>
  </cols>
  <sheetData>
    <row r="1" spans="2:11" ht="19.5" thickBot="1">
      <c r="B1" s="45" t="s">
        <v>63</v>
      </c>
      <c r="C1" s="9">
        <f>INDEX('月繰'!D1:O1,1,MATCH(IF('日繰'!B2-1=0,12,'日繰'!B2-1),'月繰'!D5:O5,0))</f>
        <v>6914</v>
      </c>
      <c r="D1" s="9">
        <f aca="true" t="shared" si="0" ref="D1:I1">+IF(ISERROR(GETPIVOTDATA("値2",$A$4,"日/曜",D5)),"-",C1+GETPIVOTDATA("値2",$A$4,"日/曜",D5))</f>
        <v>5514</v>
      </c>
      <c r="E1" s="9">
        <f t="shared" si="0"/>
        <v>2514</v>
      </c>
      <c r="F1" s="9">
        <f t="shared" si="0"/>
        <v>1614</v>
      </c>
      <c r="G1" s="9">
        <f t="shared" si="0"/>
        <v>-1536</v>
      </c>
      <c r="H1" s="9" t="str">
        <f t="shared" si="0"/>
        <v>-</v>
      </c>
      <c r="I1" s="9" t="str">
        <f t="shared" si="0"/>
        <v>-</v>
      </c>
      <c r="J1" s="9" t="str">
        <f>+IF(ISERROR(GETPIVOTDATA("値2",$A$4,"日/曜",J5)),"-",I1+GETPIVOTDATA("値2",$A$4,"日/曜",J5))</f>
        <v>-</v>
      </c>
      <c r="K1" s="10"/>
    </row>
    <row r="2" spans="1:2" ht="18.75">
      <c r="A2" s="35" t="s">
        <v>64</v>
      </c>
      <c r="B2" s="7">
        <v>5</v>
      </c>
    </row>
    <row r="4" spans="1:4" ht="18.75">
      <c r="A4" s="6" t="s">
        <v>61</v>
      </c>
      <c r="D4" s="6" t="s">
        <v>62</v>
      </c>
    </row>
    <row r="5" spans="1:8" ht="18.75">
      <c r="A5" s="6" t="s">
        <v>52</v>
      </c>
      <c r="B5" s="6" t="s">
        <v>59</v>
      </c>
      <c r="C5" s="6" t="s">
        <v>46</v>
      </c>
      <c r="D5" t="s">
        <v>136</v>
      </c>
      <c r="E5" t="s">
        <v>137</v>
      </c>
      <c r="F5" t="s">
        <v>138</v>
      </c>
      <c r="G5" t="s">
        <v>139</v>
      </c>
      <c r="H5" s="34" t="s">
        <v>53</v>
      </c>
    </row>
    <row r="6" spans="1:8" ht="18.75">
      <c r="A6" s="7" t="s">
        <v>65</v>
      </c>
      <c r="B6" s="7" t="s">
        <v>71</v>
      </c>
      <c r="C6" s="7" t="s">
        <v>120</v>
      </c>
      <c r="D6" s="8">
        <v>3600</v>
      </c>
      <c r="E6" s="8"/>
      <c r="F6" s="8"/>
      <c r="G6" s="8"/>
      <c r="H6" s="8">
        <v>3600</v>
      </c>
    </row>
    <row r="7" spans="2:8" ht="18.75">
      <c r="B7" s="7" t="s">
        <v>72</v>
      </c>
      <c r="D7" s="8">
        <v>3600</v>
      </c>
      <c r="E7" s="8"/>
      <c r="F7" s="8"/>
      <c r="G7" s="8"/>
      <c r="H7" s="8">
        <v>3600</v>
      </c>
    </row>
    <row r="8" spans="2:8" ht="18.75">
      <c r="B8" s="7" t="s">
        <v>73</v>
      </c>
      <c r="C8" s="7" t="s">
        <v>54</v>
      </c>
      <c r="D8" s="8"/>
      <c r="E8" s="8">
        <v>-3000</v>
      </c>
      <c r="F8" s="8"/>
      <c r="G8" s="8">
        <v>-2400</v>
      </c>
      <c r="H8" s="8">
        <v>-5400</v>
      </c>
    </row>
    <row r="9" spans="3:8" ht="18.75">
      <c r="C9" s="7" t="s">
        <v>48</v>
      </c>
      <c r="D9" s="8"/>
      <c r="E9" s="8"/>
      <c r="F9" s="8">
        <v>-900</v>
      </c>
      <c r="G9" s="8">
        <v>-500</v>
      </c>
      <c r="H9" s="8">
        <v>-1400</v>
      </c>
    </row>
    <row r="10" spans="3:8" ht="18.75">
      <c r="C10" s="7" t="s">
        <v>39</v>
      </c>
      <c r="D10" s="8"/>
      <c r="E10" s="8"/>
      <c r="F10" s="8"/>
      <c r="G10" s="8">
        <v>-250</v>
      </c>
      <c r="H10" s="8">
        <v>-250</v>
      </c>
    </row>
    <row r="11" spans="2:8" ht="18.75">
      <c r="B11" s="7" t="s">
        <v>74</v>
      </c>
      <c r="D11" s="8"/>
      <c r="E11" s="8">
        <v>-3000</v>
      </c>
      <c r="F11" s="8">
        <v>-900</v>
      </c>
      <c r="G11" s="8">
        <v>-3150</v>
      </c>
      <c r="H11" s="8">
        <v>-7050</v>
      </c>
    </row>
    <row r="12" spans="1:8" ht="18.75">
      <c r="A12" s="7" t="s">
        <v>75</v>
      </c>
      <c r="D12" s="8">
        <v>3600</v>
      </c>
      <c r="E12" s="8">
        <v>-3000</v>
      </c>
      <c r="F12" s="8">
        <v>-900</v>
      </c>
      <c r="G12" s="8">
        <v>-3150</v>
      </c>
      <c r="H12" s="8">
        <v>-3450</v>
      </c>
    </row>
    <row r="13" spans="1:8" ht="18.75">
      <c r="A13" s="7" t="s">
        <v>69</v>
      </c>
      <c r="B13" s="7" t="s">
        <v>73</v>
      </c>
      <c r="C13" s="7" t="s">
        <v>41</v>
      </c>
      <c r="D13" s="8">
        <v>-5000</v>
      </c>
      <c r="E13" s="8"/>
      <c r="F13" s="8"/>
      <c r="G13" s="8"/>
      <c r="H13" s="8">
        <v>-5000</v>
      </c>
    </row>
    <row r="14" spans="2:8" ht="18.75">
      <c r="B14" s="7" t="s">
        <v>74</v>
      </c>
      <c r="D14" s="8">
        <v>-5000</v>
      </c>
      <c r="E14" s="8"/>
      <c r="F14" s="8"/>
      <c r="G14" s="8"/>
      <c r="H14" s="8">
        <v>-5000</v>
      </c>
    </row>
    <row r="15" spans="1:8" ht="18.75">
      <c r="A15" s="7" t="s">
        <v>76</v>
      </c>
      <c r="D15" s="8">
        <v>-5000</v>
      </c>
      <c r="E15" s="8"/>
      <c r="F15" s="8"/>
      <c r="G15" s="8"/>
      <c r="H15" s="8">
        <v>-5000</v>
      </c>
    </row>
    <row r="16" spans="1:8" ht="18.75">
      <c r="A16" s="7" t="s">
        <v>53</v>
      </c>
      <c r="D16" s="8">
        <v>-1400</v>
      </c>
      <c r="E16" s="8">
        <v>-3000</v>
      </c>
      <c r="F16" s="8">
        <v>-900</v>
      </c>
      <c r="G16" s="8">
        <v>-3150</v>
      </c>
      <c r="H16" s="8">
        <v>-8450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1">
      <selection activeCell="G149" sqref="G149"/>
    </sheetView>
  </sheetViews>
  <sheetFormatPr defaultColWidth="9.140625" defaultRowHeight="15" outlineLevelCol="1"/>
  <cols>
    <col min="1" max="1" width="8.28125" style="0" bestFit="1" customWidth="1"/>
    <col min="2" max="2" width="16.7109375" style="0" bestFit="1" customWidth="1"/>
    <col min="3" max="3" width="57.8515625" style="0" hidden="1" customWidth="1" outlineLevel="1"/>
    <col min="4" max="4" width="9.7109375" style="0" bestFit="1" customWidth="1" collapsed="1"/>
    <col min="5" max="6" width="8.00390625" style="0" bestFit="1" customWidth="1"/>
    <col min="7" max="7" width="6.7109375" style="0" bestFit="1" customWidth="1"/>
    <col min="8" max="8" width="13.140625" style="0" bestFit="1" customWidth="1"/>
    <col min="9" max="9" width="11.140625" style="0" bestFit="1" customWidth="1"/>
    <col min="10" max="14" width="9.00390625" style="26" customWidth="1"/>
    <col min="15" max="15" width="9.421875" style="0" bestFit="1" customWidth="1"/>
    <col min="16" max="16" width="8.140625" style="26" customWidth="1"/>
    <col min="17" max="17" width="5.28125" style="0" bestFit="1" customWidth="1"/>
    <col min="18" max="18" width="25.421875" style="0" bestFit="1" customWidth="1"/>
    <col min="19" max="19" width="3.421875" style="0" bestFit="1" customWidth="1"/>
    <col min="20" max="26" width="7.8515625" style="0" bestFit="1" customWidth="1"/>
  </cols>
  <sheetData>
    <row r="1" spans="1:16" ht="18.75">
      <c r="A1" s="1" t="s">
        <v>0</v>
      </c>
      <c r="B1" s="1" t="s">
        <v>26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6" t="s">
        <v>47</v>
      </c>
      <c r="I1" s="36" t="s">
        <v>25</v>
      </c>
      <c r="J1" s="11" t="s">
        <v>43</v>
      </c>
      <c r="K1" s="11" t="s">
        <v>109</v>
      </c>
      <c r="L1" s="11" t="s">
        <v>44</v>
      </c>
      <c r="M1" s="11" t="s">
        <v>45</v>
      </c>
      <c r="N1" s="11" t="s">
        <v>60</v>
      </c>
      <c r="O1" s="11" t="s">
        <v>122</v>
      </c>
      <c r="P1" s="46" t="s">
        <v>155</v>
      </c>
    </row>
    <row r="2" spans="1:16" ht="18.75">
      <c r="A2" s="3">
        <v>42979</v>
      </c>
      <c r="B2" s="3"/>
      <c r="C2" s="4" t="s">
        <v>6</v>
      </c>
      <c r="D2" s="5">
        <v>10000</v>
      </c>
      <c r="E2" s="5">
        <v>10000</v>
      </c>
      <c r="F2" s="5"/>
      <c r="G2" s="5">
        <f>+E2-F2</f>
        <v>10000</v>
      </c>
      <c r="H2" s="37" t="s">
        <v>24</v>
      </c>
      <c r="I2" s="37" t="s">
        <v>78</v>
      </c>
      <c r="J2" s="12">
        <f>+E2-F2</f>
        <v>10000</v>
      </c>
      <c r="K2" s="25">
        <f aca="true" t="shared" si="0" ref="K2:K34">YEAR(A2)</f>
        <v>2017</v>
      </c>
      <c r="L2" s="13">
        <f aca="true" t="shared" si="1" ref="L2:L34">MONTH(A2)</f>
        <v>9</v>
      </c>
      <c r="M2" s="27">
        <f aca="true" t="shared" si="2" ref="M2:M34">DAY(A2)</f>
        <v>1</v>
      </c>
      <c r="N2" s="14" t="str">
        <f>IF(J2=0,"",IF(J2&gt;0,"1.収入","2.支出"))</f>
        <v>1.収入</v>
      </c>
      <c r="O2" s="33" t="str">
        <f aca="true" t="shared" si="3" ref="O2:O33">TEXT(DAY(A2),"00")&amp;"("&amp;TEXT(A2,"aaa")&amp;")"</f>
        <v>01(金)</v>
      </c>
      <c r="P2" s="29"/>
    </row>
    <row r="3" spans="1:16" ht="18.75">
      <c r="A3" s="3">
        <v>42979</v>
      </c>
      <c r="B3" s="3" t="s">
        <v>80</v>
      </c>
      <c r="C3" s="4" t="s">
        <v>7</v>
      </c>
      <c r="D3" s="5">
        <v>1500</v>
      </c>
      <c r="E3" s="5"/>
      <c r="F3" s="5">
        <v>1500</v>
      </c>
      <c r="G3" s="5">
        <f aca="true" t="shared" si="4" ref="G3:G34">+G2+E3-F3</f>
        <v>8500</v>
      </c>
      <c r="H3" s="37" t="str">
        <f>VLOOKUP($B3,'取引リスト'!$A:$C,COLUMN('取引リスト'!B2),FALSE)</f>
        <v>その他</v>
      </c>
      <c r="I3" s="37" t="str">
        <f>VLOOKUP($B3,'取引リスト'!$A:$C,COLUMN('取引リスト'!C2),FALSE)</f>
        <v>B.非経常収支</v>
      </c>
      <c r="J3" s="12">
        <f aca="true" t="shared" si="5" ref="J3:J34">+E3-F3</f>
        <v>-1500</v>
      </c>
      <c r="K3" s="25">
        <f t="shared" si="0"/>
        <v>2017</v>
      </c>
      <c r="L3" s="13">
        <f t="shared" si="1"/>
        <v>9</v>
      </c>
      <c r="M3" s="27">
        <f t="shared" si="2"/>
        <v>1</v>
      </c>
      <c r="N3" s="14" t="str">
        <f aca="true" t="shared" si="6" ref="N3:N66">IF(J3=0,"",IF(J3&gt;0,"1.収入","2.支出"))</f>
        <v>2.支出</v>
      </c>
      <c r="O3" s="33" t="str">
        <f t="shared" si="3"/>
        <v>01(金)</v>
      </c>
      <c r="P3" s="29"/>
    </row>
    <row r="4" spans="1:16" ht="18.75">
      <c r="A4" s="3">
        <v>42993</v>
      </c>
      <c r="B4" s="3" t="s">
        <v>30</v>
      </c>
      <c r="C4" s="4" t="s">
        <v>8</v>
      </c>
      <c r="D4" s="5">
        <v>300</v>
      </c>
      <c r="E4" s="5"/>
      <c r="F4" s="5">
        <v>300</v>
      </c>
      <c r="G4" s="5">
        <f t="shared" si="4"/>
        <v>8200</v>
      </c>
      <c r="H4" s="37" t="str">
        <f>VLOOKUP($B4,'取引リスト'!$A:$C,COLUMN('取引リスト'!B3),FALSE)</f>
        <v>固定資産</v>
      </c>
      <c r="I4" s="37" t="str">
        <f>VLOOKUP($B4,'取引リスト'!$A:$C,COLUMN('取引リスト'!C3),FALSE)</f>
        <v>B.非経常収支</v>
      </c>
      <c r="J4" s="12">
        <f t="shared" si="5"/>
        <v>-300</v>
      </c>
      <c r="K4" s="25">
        <f t="shared" si="0"/>
        <v>2017</v>
      </c>
      <c r="L4" s="13">
        <f t="shared" si="1"/>
        <v>9</v>
      </c>
      <c r="M4" s="27">
        <f t="shared" si="2"/>
        <v>15</v>
      </c>
      <c r="N4" s="14" t="str">
        <f t="shared" si="6"/>
        <v>2.支出</v>
      </c>
      <c r="O4" s="33" t="str">
        <f t="shared" si="3"/>
        <v>15(金)</v>
      </c>
      <c r="P4" s="29"/>
    </row>
    <row r="5" spans="1:16" ht="18.75">
      <c r="A5" s="3">
        <v>42998</v>
      </c>
      <c r="B5" s="3" t="s">
        <v>28</v>
      </c>
      <c r="C5" s="4" t="s">
        <v>9</v>
      </c>
      <c r="D5" s="5">
        <v>300</v>
      </c>
      <c r="E5" s="5"/>
      <c r="F5" s="5">
        <v>300</v>
      </c>
      <c r="G5" s="5">
        <f t="shared" si="4"/>
        <v>7900</v>
      </c>
      <c r="H5" s="37" t="str">
        <f>VLOOKUP($B5,'取引リスト'!$A:$C,COLUMN('取引リスト'!B4),FALSE)</f>
        <v>人件費</v>
      </c>
      <c r="I5" s="37" t="str">
        <f>VLOOKUP($B5,'取引リスト'!$A:$C,COLUMN('取引リスト'!C4),FALSE)</f>
        <v>A.経常収支</v>
      </c>
      <c r="J5" s="12">
        <f t="shared" si="5"/>
        <v>-300</v>
      </c>
      <c r="K5" s="25">
        <f t="shared" si="0"/>
        <v>2017</v>
      </c>
      <c r="L5" s="13">
        <f t="shared" si="1"/>
        <v>9</v>
      </c>
      <c r="M5" s="27">
        <f t="shared" si="2"/>
        <v>20</v>
      </c>
      <c r="N5" s="14" t="str">
        <f t="shared" si="6"/>
        <v>2.支出</v>
      </c>
      <c r="O5" s="33" t="str">
        <f t="shared" si="3"/>
        <v>20(水)</v>
      </c>
      <c r="P5" s="29"/>
    </row>
    <row r="6" spans="1:16" ht="18.75">
      <c r="A6" s="3">
        <v>43007</v>
      </c>
      <c r="B6" s="3" t="s">
        <v>37</v>
      </c>
      <c r="C6" s="4" t="s">
        <v>10</v>
      </c>
      <c r="D6" s="5">
        <v>250</v>
      </c>
      <c r="E6" s="5"/>
      <c r="F6" s="5">
        <v>250</v>
      </c>
      <c r="G6" s="5">
        <f t="shared" si="4"/>
        <v>7650</v>
      </c>
      <c r="H6" s="37" t="str">
        <f>VLOOKUP($B6,'取引リスト'!$A:$C,COLUMN('取引リスト'!B5),FALSE)</f>
        <v>地代家賃</v>
      </c>
      <c r="I6" s="37" t="str">
        <f>VLOOKUP($B6,'取引リスト'!$A:$C,COLUMN('取引リスト'!C5),FALSE)</f>
        <v>A.経常収支</v>
      </c>
      <c r="J6" s="12">
        <f t="shared" si="5"/>
        <v>-250</v>
      </c>
      <c r="K6" s="25">
        <f t="shared" si="0"/>
        <v>2017</v>
      </c>
      <c r="L6" s="13">
        <f t="shared" si="1"/>
        <v>9</v>
      </c>
      <c r="M6" s="27">
        <f t="shared" si="2"/>
        <v>29</v>
      </c>
      <c r="N6" s="14" t="str">
        <f t="shared" si="6"/>
        <v>2.支出</v>
      </c>
      <c r="O6" s="33" t="str">
        <f t="shared" si="3"/>
        <v>29(金)</v>
      </c>
      <c r="P6" s="29"/>
    </row>
    <row r="7" spans="1:16" ht="18.75">
      <c r="A7" s="3">
        <v>43007</v>
      </c>
      <c r="B7" s="3" t="s">
        <v>105</v>
      </c>
      <c r="C7" s="4" t="s">
        <v>11</v>
      </c>
      <c r="D7" s="5">
        <v>500</v>
      </c>
      <c r="E7" s="5"/>
      <c r="F7" s="5">
        <v>500</v>
      </c>
      <c r="G7" s="5">
        <f t="shared" si="4"/>
        <v>7150</v>
      </c>
      <c r="H7" s="37" t="str">
        <f>VLOOKUP($B7,'取引リスト'!$A:$C,COLUMN('取引リスト'!B6),FALSE)</f>
        <v>人件費</v>
      </c>
      <c r="I7" s="37" t="str">
        <f>VLOOKUP($B7,'取引リスト'!$A:$C,COLUMN('取引リスト'!C6),FALSE)</f>
        <v>A.経常収支</v>
      </c>
      <c r="J7" s="12">
        <f t="shared" si="5"/>
        <v>-500</v>
      </c>
      <c r="K7" s="25">
        <f t="shared" si="0"/>
        <v>2017</v>
      </c>
      <c r="L7" s="13">
        <f t="shared" si="1"/>
        <v>9</v>
      </c>
      <c r="M7" s="27">
        <f t="shared" si="2"/>
        <v>29</v>
      </c>
      <c r="N7" s="14" t="str">
        <f t="shared" si="6"/>
        <v>2.支出</v>
      </c>
      <c r="O7" s="33" t="str">
        <f t="shared" si="3"/>
        <v>29(金)</v>
      </c>
      <c r="P7" s="29"/>
    </row>
    <row r="8" spans="1:16" ht="18.75">
      <c r="A8" s="3">
        <v>43019</v>
      </c>
      <c r="B8" s="3" t="s">
        <v>32</v>
      </c>
      <c r="C8" s="4" t="s">
        <v>12</v>
      </c>
      <c r="D8" s="5">
        <v>100</v>
      </c>
      <c r="E8" s="5"/>
      <c r="F8" s="5">
        <v>100</v>
      </c>
      <c r="G8" s="5">
        <f t="shared" si="4"/>
        <v>7050</v>
      </c>
      <c r="H8" s="37" t="str">
        <f>VLOOKUP($B8,'取引リスト'!$A:$C,COLUMN('取引リスト'!B7),FALSE)</f>
        <v>その他経費</v>
      </c>
      <c r="I8" s="37" t="str">
        <f>VLOOKUP($B8,'取引リスト'!$A:$C,COLUMN('取引リスト'!C7),FALSE)</f>
        <v>A.経常収支</v>
      </c>
      <c r="J8" s="12">
        <f t="shared" si="5"/>
        <v>-100</v>
      </c>
      <c r="K8" s="25">
        <f t="shared" si="0"/>
        <v>2017</v>
      </c>
      <c r="L8" s="13">
        <f t="shared" si="1"/>
        <v>10</v>
      </c>
      <c r="M8" s="27">
        <f t="shared" si="2"/>
        <v>11</v>
      </c>
      <c r="N8" s="14" t="str">
        <f t="shared" si="6"/>
        <v>2.支出</v>
      </c>
      <c r="O8" s="33" t="str">
        <f t="shared" si="3"/>
        <v>11(水)</v>
      </c>
      <c r="P8" s="29"/>
    </row>
    <row r="9" spans="1:16" ht="18.75">
      <c r="A9" s="3">
        <v>43028</v>
      </c>
      <c r="B9" s="3" t="s">
        <v>28</v>
      </c>
      <c r="C9" s="4" t="s">
        <v>9</v>
      </c>
      <c r="D9" s="5">
        <v>300</v>
      </c>
      <c r="E9" s="5"/>
      <c r="F9" s="5">
        <v>300</v>
      </c>
      <c r="G9" s="5">
        <f t="shared" si="4"/>
        <v>6750</v>
      </c>
      <c r="H9" s="37" t="str">
        <f>VLOOKUP($B9,'取引リスト'!$A:$C,COLUMN('取引リスト'!B8),FALSE)</f>
        <v>人件費</v>
      </c>
      <c r="I9" s="37" t="str">
        <f>VLOOKUP($B9,'取引リスト'!$A:$C,COLUMN('取引リスト'!C8),FALSE)</f>
        <v>A.経常収支</v>
      </c>
      <c r="J9" s="12">
        <f t="shared" si="5"/>
        <v>-300</v>
      </c>
      <c r="K9" s="25">
        <f t="shared" si="0"/>
        <v>2017</v>
      </c>
      <c r="L9" s="13">
        <f t="shared" si="1"/>
        <v>10</v>
      </c>
      <c r="M9" s="27">
        <f t="shared" si="2"/>
        <v>20</v>
      </c>
      <c r="N9" s="14" t="str">
        <f t="shared" si="6"/>
        <v>2.支出</v>
      </c>
      <c r="O9" s="33" t="str">
        <f t="shared" si="3"/>
        <v>20(金)</v>
      </c>
      <c r="P9" s="29"/>
    </row>
    <row r="10" spans="1:16" ht="18.75">
      <c r="A10" s="3">
        <v>43039</v>
      </c>
      <c r="B10" s="3" t="s">
        <v>38</v>
      </c>
      <c r="C10" s="4" t="s">
        <v>10</v>
      </c>
      <c r="D10" s="5">
        <v>250</v>
      </c>
      <c r="E10" s="5"/>
      <c r="F10" s="5">
        <v>250</v>
      </c>
      <c r="G10" s="5">
        <f t="shared" si="4"/>
        <v>6500</v>
      </c>
      <c r="H10" s="37" t="str">
        <f>VLOOKUP($B10,'取引リスト'!$A:$C,COLUMN('取引リスト'!B9),FALSE)</f>
        <v>地代家賃</v>
      </c>
      <c r="I10" s="37" t="str">
        <f>VLOOKUP($B10,'取引リスト'!$A:$C,COLUMN('取引リスト'!C9),FALSE)</f>
        <v>A.経常収支</v>
      </c>
      <c r="J10" s="12">
        <f t="shared" si="5"/>
        <v>-250</v>
      </c>
      <c r="K10" s="25">
        <f t="shared" si="0"/>
        <v>2017</v>
      </c>
      <c r="L10" s="13">
        <f t="shared" si="1"/>
        <v>10</v>
      </c>
      <c r="M10" s="27">
        <f t="shared" si="2"/>
        <v>31</v>
      </c>
      <c r="N10" s="14" t="str">
        <f t="shared" si="6"/>
        <v>2.支出</v>
      </c>
      <c r="O10" s="33" t="str">
        <f t="shared" si="3"/>
        <v>31(火)</v>
      </c>
      <c r="P10" s="29"/>
    </row>
    <row r="11" spans="1:16" ht="18.75">
      <c r="A11" s="3">
        <v>43039</v>
      </c>
      <c r="B11" s="3" t="s">
        <v>105</v>
      </c>
      <c r="C11" s="4" t="s">
        <v>11</v>
      </c>
      <c r="D11" s="5">
        <v>500</v>
      </c>
      <c r="E11" s="5"/>
      <c r="F11" s="5">
        <v>500</v>
      </c>
      <c r="G11" s="5">
        <f t="shared" si="4"/>
        <v>6000</v>
      </c>
      <c r="H11" s="37" t="str">
        <f>VLOOKUP($B11,'取引リスト'!$A:$C,COLUMN('取引リスト'!B10),FALSE)</f>
        <v>人件費</v>
      </c>
      <c r="I11" s="37" t="str">
        <f>VLOOKUP($B11,'取引リスト'!$A:$C,COLUMN('取引リスト'!C10),FALSE)</f>
        <v>A.経常収支</v>
      </c>
      <c r="J11" s="12">
        <f t="shared" si="5"/>
        <v>-500</v>
      </c>
      <c r="K11" s="25">
        <f t="shared" si="0"/>
        <v>2017</v>
      </c>
      <c r="L11" s="13">
        <f t="shared" si="1"/>
        <v>10</v>
      </c>
      <c r="M11" s="27">
        <f t="shared" si="2"/>
        <v>31</v>
      </c>
      <c r="N11" s="14" t="str">
        <f t="shared" si="6"/>
        <v>2.支出</v>
      </c>
      <c r="O11" s="33" t="str">
        <f t="shared" si="3"/>
        <v>31(火)</v>
      </c>
      <c r="P11" s="29"/>
    </row>
    <row r="12" spans="1:16" ht="18.75">
      <c r="A12" s="3">
        <v>43039</v>
      </c>
      <c r="B12" s="3" t="s">
        <v>86</v>
      </c>
      <c r="C12" s="4" t="s">
        <v>13</v>
      </c>
      <c r="D12" s="5">
        <v>3000</v>
      </c>
      <c r="E12" s="5"/>
      <c r="F12" s="5">
        <v>3000</v>
      </c>
      <c r="G12" s="5">
        <f t="shared" si="4"/>
        <v>3000</v>
      </c>
      <c r="H12" s="37" t="str">
        <f>VLOOKUP($B12,'取引リスト'!$A:$C,COLUMN('取引リスト'!B12),FALSE)</f>
        <v>仕入</v>
      </c>
      <c r="I12" s="37" t="str">
        <f>VLOOKUP($B12,'取引リスト'!$A:$C,COLUMN('取引リスト'!C12),FALSE)</f>
        <v>A.経常収支</v>
      </c>
      <c r="J12" s="12">
        <f t="shared" si="5"/>
        <v>-3000</v>
      </c>
      <c r="K12" s="25">
        <f t="shared" si="0"/>
        <v>2017</v>
      </c>
      <c r="L12" s="13">
        <f t="shared" si="1"/>
        <v>10</v>
      </c>
      <c r="M12" s="27">
        <f t="shared" si="2"/>
        <v>31</v>
      </c>
      <c r="N12" s="14" t="str">
        <f t="shared" si="6"/>
        <v>2.支出</v>
      </c>
      <c r="O12" s="33" t="str">
        <f t="shared" si="3"/>
        <v>31(火)</v>
      </c>
      <c r="P12" s="29"/>
    </row>
    <row r="13" spans="1:16" ht="18.75">
      <c r="A13" s="3">
        <v>43039</v>
      </c>
      <c r="B13" s="3" t="s">
        <v>34</v>
      </c>
      <c r="C13" s="4" t="s">
        <v>14</v>
      </c>
      <c r="D13" s="5">
        <v>150</v>
      </c>
      <c r="E13" s="5"/>
      <c r="F13" s="5">
        <v>150</v>
      </c>
      <c r="G13" s="5">
        <f t="shared" si="4"/>
        <v>2850</v>
      </c>
      <c r="H13" s="37" t="str">
        <f>VLOOKUP($B13,'取引リスト'!$A:$C,COLUMN('取引リスト'!B13),FALSE)</f>
        <v>その他経費</v>
      </c>
      <c r="I13" s="37" t="str">
        <f>VLOOKUP($B13,'取引リスト'!$A:$C,COLUMN('取引リスト'!C13),FALSE)</f>
        <v>A.経常収支</v>
      </c>
      <c r="J13" s="12">
        <f t="shared" si="5"/>
        <v>-150</v>
      </c>
      <c r="K13" s="25">
        <f t="shared" si="0"/>
        <v>2017</v>
      </c>
      <c r="L13" s="13">
        <f t="shared" si="1"/>
        <v>10</v>
      </c>
      <c r="M13" s="27">
        <f t="shared" si="2"/>
        <v>31</v>
      </c>
      <c r="N13" s="14" t="str">
        <f t="shared" si="6"/>
        <v>2.支出</v>
      </c>
      <c r="O13" s="33" t="str">
        <f t="shared" si="3"/>
        <v>31(火)</v>
      </c>
      <c r="P13" s="29"/>
    </row>
    <row r="14" spans="1:28" ht="18.75">
      <c r="A14" s="3">
        <v>43048</v>
      </c>
      <c r="B14" s="3" t="s">
        <v>30</v>
      </c>
      <c r="C14" s="4" t="s">
        <v>15</v>
      </c>
      <c r="D14" s="5">
        <v>700</v>
      </c>
      <c r="E14" s="5"/>
      <c r="F14" s="5">
        <v>700</v>
      </c>
      <c r="G14" s="5">
        <f t="shared" si="4"/>
        <v>2150</v>
      </c>
      <c r="H14" s="37" t="str">
        <f>VLOOKUP($B14,'取引リスト'!$A:$C,COLUMN('取引リスト'!B16),FALSE)</f>
        <v>固定資産</v>
      </c>
      <c r="I14" s="37" t="str">
        <f>VLOOKUP($B14,'取引リスト'!$A:$C,COLUMN('取引リスト'!C16),FALSE)</f>
        <v>B.非経常収支</v>
      </c>
      <c r="J14" s="12">
        <f t="shared" si="5"/>
        <v>-700</v>
      </c>
      <c r="K14" s="25">
        <f t="shared" si="0"/>
        <v>2017</v>
      </c>
      <c r="L14" s="13">
        <f t="shared" si="1"/>
        <v>11</v>
      </c>
      <c r="M14" s="27">
        <f t="shared" si="2"/>
        <v>9</v>
      </c>
      <c r="N14" s="14" t="str">
        <f t="shared" si="6"/>
        <v>2.支出</v>
      </c>
      <c r="O14" s="33" t="str">
        <f t="shared" si="3"/>
        <v>09(木)</v>
      </c>
      <c r="P14" s="29"/>
      <c r="AB14">
        <v>2000</v>
      </c>
    </row>
    <row r="15" spans="1:29" ht="18.75">
      <c r="A15" s="3">
        <v>43059</v>
      </c>
      <c r="B15" s="3" t="s">
        <v>28</v>
      </c>
      <c r="C15" s="4" t="s">
        <v>9</v>
      </c>
      <c r="D15" s="5">
        <v>300</v>
      </c>
      <c r="E15" s="5"/>
      <c r="F15" s="5">
        <v>300</v>
      </c>
      <c r="G15" s="5">
        <f t="shared" si="4"/>
        <v>1850</v>
      </c>
      <c r="H15" s="37" t="str">
        <f>VLOOKUP($B15,'取引リスト'!$A:$C,COLUMN('取引リスト'!B17),FALSE)</f>
        <v>人件費</v>
      </c>
      <c r="I15" s="37" t="str">
        <f>VLOOKUP($B15,'取引リスト'!$A:$C,COLUMN('取引リスト'!C17),FALSE)</f>
        <v>A.経常収支</v>
      </c>
      <c r="J15" s="12">
        <f t="shared" si="5"/>
        <v>-300</v>
      </c>
      <c r="K15" s="25">
        <f t="shared" si="0"/>
        <v>2017</v>
      </c>
      <c r="L15" s="13">
        <f t="shared" si="1"/>
        <v>11</v>
      </c>
      <c r="M15" s="27">
        <f t="shared" si="2"/>
        <v>20</v>
      </c>
      <c r="N15" s="14" t="str">
        <f t="shared" si="6"/>
        <v>2.支出</v>
      </c>
      <c r="O15" s="33" t="str">
        <f t="shared" si="3"/>
        <v>20(月)</v>
      </c>
      <c r="P15" s="29"/>
      <c r="AC15">
        <v>-10</v>
      </c>
    </row>
    <row r="16" spans="1:29" ht="18.75">
      <c r="A16" s="15">
        <v>43063</v>
      </c>
      <c r="B16" s="15" t="s">
        <v>88</v>
      </c>
      <c r="C16" s="16" t="s">
        <v>16</v>
      </c>
      <c r="D16" s="17">
        <v>3948</v>
      </c>
      <c r="E16" s="17">
        <v>3948</v>
      </c>
      <c r="F16" s="17"/>
      <c r="G16" s="17">
        <f t="shared" si="4"/>
        <v>5798</v>
      </c>
      <c r="H16" s="37" t="str">
        <f>VLOOKUP($B16,'取引リスト'!$A:$C,COLUMN('取引リスト'!B18),FALSE)</f>
        <v>売上(手形)</v>
      </c>
      <c r="I16" s="37" t="str">
        <f>VLOOKUP($B16,'取引リスト'!$A:$C,COLUMN('取引リスト'!C18),FALSE)</f>
        <v>A.経常収支</v>
      </c>
      <c r="J16" s="12">
        <f t="shared" si="5"/>
        <v>3948</v>
      </c>
      <c r="K16" s="25">
        <f t="shared" si="0"/>
        <v>2017</v>
      </c>
      <c r="L16" s="13">
        <f t="shared" si="1"/>
        <v>11</v>
      </c>
      <c r="M16" s="27">
        <f t="shared" si="2"/>
        <v>24</v>
      </c>
      <c r="N16" s="14" t="str">
        <f t="shared" si="6"/>
        <v>1.収入</v>
      </c>
      <c r="O16" s="33" t="str">
        <f t="shared" si="3"/>
        <v>24(金)</v>
      </c>
      <c r="P16" s="29"/>
      <c r="AC16">
        <v>-80</v>
      </c>
    </row>
    <row r="17" spans="1:16" ht="18.75">
      <c r="A17" s="3">
        <v>43069</v>
      </c>
      <c r="B17" s="3" t="s">
        <v>37</v>
      </c>
      <c r="C17" s="4" t="s">
        <v>10</v>
      </c>
      <c r="D17" s="5">
        <v>250</v>
      </c>
      <c r="E17" s="5"/>
      <c r="F17" s="5">
        <v>250</v>
      </c>
      <c r="G17" s="5">
        <f t="shared" si="4"/>
        <v>5548</v>
      </c>
      <c r="H17" s="37" t="str">
        <f>VLOOKUP($B17,'取引リスト'!$A:$C,COLUMN('取引リスト'!B19),FALSE)</f>
        <v>地代家賃</v>
      </c>
      <c r="I17" s="37" t="str">
        <f>VLOOKUP($B17,'取引リスト'!$A:$C,COLUMN('取引リスト'!C19),FALSE)</f>
        <v>A.経常収支</v>
      </c>
      <c r="J17" s="12">
        <f t="shared" si="5"/>
        <v>-250</v>
      </c>
      <c r="K17" s="25">
        <f t="shared" si="0"/>
        <v>2017</v>
      </c>
      <c r="L17" s="13">
        <f t="shared" si="1"/>
        <v>11</v>
      </c>
      <c r="M17" s="27">
        <f t="shared" si="2"/>
        <v>30</v>
      </c>
      <c r="N17" s="14" t="str">
        <f t="shared" si="6"/>
        <v>2.支出</v>
      </c>
      <c r="O17" s="33" t="str">
        <f t="shared" si="3"/>
        <v>30(木)</v>
      </c>
      <c r="P17" s="29"/>
    </row>
    <row r="18" spans="1:16" ht="18.75">
      <c r="A18" s="3">
        <v>43069</v>
      </c>
      <c r="B18" s="3" t="s">
        <v>105</v>
      </c>
      <c r="C18" s="4" t="s">
        <v>11</v>
      </c>
      <c r="D18" s="5">
        <v>500</v>
      </c>
      <c r="E18" s="5"/>
      <c r="F18" s="5">
        <v>500</v>
      </c>
      <c r="G18" s="5">
        <f t="shared" si="4"/>
        <v>5048</v>
      </c>
      <c r="H18" s="37" t="str">
        <f>VLOOKUP($B18,'取引リスト'!$A:$C,COLUMN('取引リスト'!B20),FALSE)</f>
        <v>人件費</v>
      </c>
      <c r="I18" s="37" t="str">
        <f>VLOOKUP($B18,'取引リスト'!$A:$C,COLUMN('取引リスト'!C20),FALSE)</f>
        <v>A.経常収支</v>
      </c>
      <c r="J18" s="12">
        <f t="shared" si="5"/>
        <v>-500</v>
      </c>
      <c r="K18" s="25">
        <f t="shared" si="0"/>
        <v>2017</v>
      </c>
      <c r="L18" s="13">
        <f t="shared" si="1"/>
        <v>11</v>
      </c>
      <c r="M18" s="27">
        <f t="shared" si="2"/>
        <v>30</v>
      </c>
      <c r="N18" s="14" t="str">
        <f t="shared" si="6"/>
        <v>2.支出</v>
      </c>
      <c r="O18" s="33" t="str">
        <f t="shared" si="3"/>
        <v>30(木)</v>
      </c>
      <c r="P18" s="29"/>
    </row>
    <row r="19" spans="1:16" ht="18.75">
      <c r="A19" s="3">
        <v>43069</v>
      </c>
      <c r="B19" s="3" t="s">
        <v>86</v>
      </c>
      <c r="C19" s="4" t="s">
        <v>17</v>
      </c>
      <c r="D19" s="5">
        <v>3000</v>
      </c>
      <c r="E19" s="5"/>
      <c r="F19" s="5">
        <v>3000</v>
      </c>
      <c r="G19" s="5">
        <f t="shared" si="4"/>
        <v>2048</v>
      </c>
      <c r="H19" s="37" t="str">
        <f>VLOOKUP($B19,'取引リスト'!$A:$C,COLUMN('取引リスト'!B21),FALSE)</f>
        <v>仕入</v>
      </c>
      <c r="I19" s="37" t="str">
        <f>VLOOKUP($B19,'取引リスト'!$A:$C,COLUMN('取引リスト'!C21),FALSE)</f>
        <v>A.経常収支</v>
      </c>
      <c r="J19" s="12">
        <f t="shared" si="5"/>
        <v>-3000</v>
      </c>
      <c r="K19" s="25">
        <f t="shared" si="0"/>
        <v>2017</v>
      </c>
      <c r="L19" s="13">
        <f t="shared" si="1"/>
        <v>11</v>
      </c>
      <c r="M19" s="27">
        <f t="shared" si="2"/>
        <v>30</v>
      </c>
      <c r="N19" s="14" t="str">
        <f t="shared" si="6"/>
        <v>2.支出</v>
      </c>
      <c r="O19" s="33" t="str">
        <f t="shared" si="3"/>
        <v>30(木)</v>
      </c>
      <c r="P19" s="29"/>
    </row>
    <row r="20" spans="1:16" ht="18.75">
      <c r="A20" s="3">
        <v>43089</v>
      </c>
      <c r="B20" s="3" t="s">
        <v>28</v>
      </c>
      <c r="C20" s="4" t="s">
        <v>9</v>
      </c>
      <c r="D20" s="5">
        <v>300</v>
      </c>
      <c r="E20" s="5"/>
      <c r="F20" s="5">
        <v>300</v>
      </c>
      <c r="G20" s="5">
        <f t="shared" si="4"/>
        <v>1748</v>
      </c>
      <c r="H20" s="37" t="str">
        <f>VLOOKUP($B20,'取引リスト'!$A:$C,COLUMN('取引リスト'!B22),FALSE)</f>
        <v>人件費</v>
      </c>
      <c r="I20" s="37" t="str">
        <f>VLOOKUP($B20,'取引リスト'!$A:$C,COLUMN('取引リスト'!C22),FALSE)</f>
        <v>A.経常収支</v>
      </c>
      <c r="J20" s="12">
        <f t="shared" si="5"/>
        <v>-300</v>
      </c>
      <c r="K20" s="25">
        <f t="shared" si="0"/>
        <v>2017</v>
      </c>
      <c r="L20" s="13">
        <f t="shared" si="1"/>
        <v>12</v>
      </c>
      <c r="M20" s="27">
        <f t="shared" si="2"/>
        <v>20</v>
      </c>
      <c r="N20" s="14" t="str">
        <f t="shared" si="6"/>
        <v>2.支出</v>
      </c>
      <c r="O20" s="33" t="str">
        <f t="shared" si="3"/>
        <v>20(水)</v>
      </c>
      <c r="P20" s="29"/>
    </row>
    <row r="21" spans="1:16" ht="18.75">
      <c r="A21" s="3">
        <v>43094</v>
      </c>
      <c r="B21" s="3" t="s">
        <v>88</v>
      </c>
      <c r="C21" s="4" t="s">
        <v>18</v>
      </c>
      <c r="D21" s="5">
        <v>5076</v>
      </c>
      <c r="E21" s="5">
        <v>5076</v>
      </c>
      <c r="F21" s="5"/>
      <c r="G21" s="5">
        <f t="shared" si="4"/>
        <v>6824</v>
      </c>
      <c r="H21" s="37" t="str">
        <f>VLOOKUP($B21,'取引リスト'!$A:$C,COLUMN('取引リスト'!B23),FALSE)</f>
        <v>売上(手形)</v>
      </c>
      <c r="I21" s="37" t="str">
        <f>VLOOKUP($B21,'取引リスト'!$A:$C,COLUMN('取引リスト'!C23),FALSE)</f>
        <v>A.経常収支</v>
      </c>
      <c r="J21" s="12">
        <f t="shared" si="5"/>
        <v>5076</v>
      </c>
      <c r="K21" s="25">
        <f t="shared" si="0"/>
        <v>2017</v>
      </c>
      <c r="L21" s="13">
        <f t="shared" si="1"/>
        <v>12</v>
      </c>
      <c r="M21" s="27">
        <f t="shared" si="2"/>
        <v>25</v>
      </c>
      <c r="N21" s="14" t="str">
        <f t="shared" si="6"/>
        <v>1.収入</v>
      </c>
      <c r="O21" s="33" t="str">
        <f t="shared" si="3"/>
        <v>25(月)</v>
      </c>
      <c r="P21" s="29"/>
    </row>
    <row r="22" spans="1:16" ht="18.75">
      <c r="A22" s="3">
        <v>43098</v>
      </c>
      <c r="B22" s="3" t="s">
        <v>37</v>
      </c>
      <c r="C22" s="4" t="s">
        <v>10</v>
      </c>
      <c r="D22" s="5">
        <v>250</v>
      </c>
      <c r="E22" s="5"/>
      <c r="F22" s="5">
        <v>250</v>
      </c>
      <c r="G22" s="5">
        <f t="shared" si="4"/>
        <v>6574</v>
      </c>
      <c r="H22" s="37" t="str">
        <f>VLOOKUP($B22,'取引リスト'!$A:$C,COLUMN('取引リスト'!B24),FALSE)</f>
        <v>地代家賃</v>
      </c>
      <c r="I22" s="37" t="str">
        <f>VLOOKUP($B22,'取引リスト'!$A:$C,COLUMN('取引リスト'!C24),FALSE)</f>
        <v>A.経常収支</v>
      </c>
      <c r="J22" s="12">
        <f t="shared" si="5"/>
        <v>-250</v>
      </c>
      <c r="K22" s="25">
        <f t="shared" si="0"/>
        <v>2017</v>
      </c>
      <c r="L22" s="13">
        <f t="shared" si="1"/>
        <v>12</v>
      </c>
      <c r="M22" s="27">
        <f t="shared" si="2"/>
        <v>29</v>
      </c>
      <c r="N22" s="14" t="str">
        <f t="shared" si="6"/>
        <v>2.支出</v>
      </c>
      <c r="O22" s="33" t="str">
        <f t="shared" si="3"/>
        <v>29(金)</v>
      </c>
      <c r="P22" s="29"/>
    </row>
    <row r="23" spans="1:16" ht="18.75">
      <c r="A23" s="3">
        <v>43098</v>
      </c>
      <c r="B23" s="3" t="s">
        <v>105</v>
      </c>
      <c r="C23" s="4" t="s">
        <v>11</v>
      </c>
      <c r="D23" s="5">
        <v>500</v>
      </c>
      <c r="E23" s="5"/>
      <c r="F23" s="5">
        <v>500</v>
      </c>
      <c r="G23" s="5">
        <f t="shared" si="4"/>
        <v>6074</v>
      </c>
      <c r="H23" s="37" t="str">
        <f>VLOOKUP($B23,'取引リスト'!$A:$C,COLUMN('取引リスト'!B25),FALSE)</f>
        <v>人件費</v>
      </c>
      <c r="I23" s="37" t="str">
        <f>VLOOKUP($B23,'取引リスト'!$A:$C,COLUMN('取引リスト'!C25),FALSE)</f>
        <v>A.経常収支</v>
      </c>
      <c r="J23" s="12">
        <f t="shared" si="5"/>
        <v>-500</v>
      </c>
      <c r="K23" s="25">
        <f t="shared" si="0"/>
        <v>2017</v>
      </c>
      <c r="L23" s="13">
        <f t="shared" si="1"/>
        <v>12</v>
      </c>
      <c r="M23" s="27">
        <f t="shared" si="2"/>
        <v>29</v>
      </c>
      <c r="N23" s="14" t="str">
        <f t="shared" si="6"/>
        <v>2.支出</v>
      </c>
      <c r="O23" s="33" t="str">
        <f t="shared" si="3"/>
        <v>29(金)</v>
      </c>
      <c r="P23" s="29"/>
    </row>
    <row r="24" spans="1:16" ht="18.75">
      <c r="A24" s="3">
        <v>43098</v>
      </c>
      <c r="B24" s="3" t="s">
        <v>86</v>
      </c>
      <c r="C24" s="4" t="s">
        <v>19</v>
      </c>
      <c r="D24" s="5">
        <v>2400</v>
      </c>
      <c r="E24" s="5"/>
      <c r="F24" s="5">
        <v>2400</v>
      </c>
      <c r="G24" s="5">
        <f t="shared" si="4"/>
        <v>3674</v>
      </c>
      <c r="H24" s="37" t="str">
        <f>VLOOKUP($B24,'取引リスト'!$A:$C,COLUMN('取引リスト'!B26),FALSE)</f>
        <v>仕入</v>
      </c>
      <c r="I24" s="37" t="str">
        <f>VLOOKUP($B24,'取引リスト'!$A:$C,COLUMN('取引リスト'!C26),FALSE)</f>
        <v>A.経常収支</v>
      </c>
      <c r="J24" s="12">
        <f t="shared" si="5"/>
        <v>-2400</v>
      </c>
      <c r="K24" s="25">
        <f t="shared" si="0"/>
        <v>2017</v>
      </c>
      <c r="L24" s="13">
        <f t="shared" si="1"/>
        <v>12</v>
      </c>
      <c r="M24" s="27">
        <f t="shared" si="2"/>
        <v>29</v>
      </c>
      <c r="N24" s="14" t="str">
        <f t="shared" si="6"/>
        <v>2.支出</v>
      </c>
      <c r="O24" s="33" t="str">
        <f t="shared" si="3"/>
        <v>29(金)</v>
      </c>
      <c r="P24" s="29"/>
    </row>
    <row r="25" spans="1:16" ht="18.75">
      <c r="A25" s="3">
        <v>43119</v>
      </c>
      <c r="B25" s="3" t="s">
        <v>28</v>
      </c>
      <c r="C25" s="4" t="s">
        <v>9</v>
      </c>
      <c r="D25" s="5">
        <v>300</v>
      </c>
      <c r="E25" s="5"/>
      <c r="F25" s="5">
        <v>300</v>
      </c>
      <c r="G25" s="5">
        <f t="shared" si="4"/>
        <v>3374</v>
      </c>
      <c r="H25" s="37" t="str">
        <f>VLOOKUP($B25,'取引リスト'!$A:$C,COLUMN('取引リスト'!B27),FALSE)</f>
        <v>人件費</v>
      </c>
      <c r="I25" s="37" t="str">
        <f>VLOOKUP($B25,'取引リスト'!$A:$C,COLUMN('取引リスト'!C27),FALSE)</f>
        <v>A.経常収支</v>
      </c>
      <c r="J25" s="12">
        <f t="shared" si="5"/>
        <v>-300</v>
      </c>
      <c r="K25" s="25">
        <f t="shared" si="0"/>
        <v>2018</v>
      </c>
      <c r="L25" s="13">
        <f t="shared" si="1"/>
        <v>1</v>
      </c>
      <c r="M25" s="27">
        <f t="shared" si="2"/>
        <v>19</v>
      </c>
      <c r="N25" s="14" t="str">
        <f t="shared" si="6"/>
        <v>2.支出</v>
      </c>
      <c r="O25" s="33" t="str">
        <f t="shared" si="3"/>
        <v>19(金)</v>
      </c>
      <c r="P25" s="29"/>
    </row>
    <row r="26" spans="1:16" ht="18.75">
      <c r="A26" s="3">
        <v>43126</v>
      </c>
      <c r="B26" s="3" t="s">
        <v>58</v>
      </c>
      <c r="C26" s="4" t="s">
        <v>83</v>
      </c>
      <c r="D26" s="5">
        <v>1000</v>
      </c>
      <c r="E26" s="5">
        <v>1000</v>
      </c>
      <c r="F26" s="5"/>
      <c r="G26" s="5">
        <f t="shared" si="4"/>
        <v>4374</v>
      </c>
      <c r="H26" s="37" t="str">
        <f>VLOOKUP($B26,'取引リスト'!$A:$C,COLUMN('取引リスト'!B28),FALSE)</f>
        <v>役員借入</v>
      </c>
      <c r="I26" s="37" t="str">
        <f>VLOOKUP($B26,'取引リスト'!$A:$C,COLUMN('取引リスト'!C28),FALSE)</f>
        <v>C.財務収支</v>
      </c>
      <c r="J26" s="12">
        <f t="shared" si="5"/>
        <v>1000</v>
      </c>
      <c r="K26" s="25">
        <f t="shared" si="0"/>
        <v>2018</v>
      </c>
      <c r="L26" s="13">
        <f t="shared" si="1"/>
        <v>1</v>
      </c>
      <c r="M26" s="27">
        <f t="shared" si="2"/>
        <v>26</v>
      </c>
      <c r="N26" s="14" t="str">
        <f t="shared" si="6"/>
        <v>1.収入</v>
      </c>
      <c r="O26" s="33" t="str">
        <f t="shared" si="3"/>
        <v>26(金)</v>
      </c>
      <c r="P26" s="29"/>
    </row>
    <row r="27" spans="1:16" ht="18.75">
      <c r="A27" s="3">
        <v>43131</v>
      </c>
      <c r="B27" s="3" t="s">
        <v>36</v>
      </c>
      <c r="C27" s="4" t="s">
        <v>10</v>
      </c>
      <c r="D27" s="5">
        <v>250</v>
      </c>
      <c r="E27" s="5"/>
      <c r="F27" s="5">
        <v>250</v>
      </c>
      <c r="G27" s="5">
        <f t="shared" si="4"/>
        <v>4124</v>
      </c>
      <c r="H27" s="37" t="str">
        <f>VLOOKUP($B27,'取引リスト'!$A:$C,COLUMN('取引リスト'!B29),FALSE)</f>
        <v>地代家賃</v>
      </c>
      <c r="I27" s="37" t="str">
        <f>VLOOKUP($B27,'取引リスト'!$A:$C,COLUMN('取引リスト'!C29),FALSE)</f>
        <v>A.経常収支</v>
      </c>
      <c r="J27" s="12">
        <f t="shared" si="5"/>
        <v>-250</v>
      </c>
      <c r="K27" s="25">
        <f t="shared" si="0"/>
        <v>2018</v>
      </c>
      <c r="L27" s="13">
        <f t="shared" si="1"/>
        <v>1</v>
      </c>
      <c r="M27" s="27">
        <f t="shared" si="2"/>
        <v>31</v>
      </c>
      <c r="N27" s="14" t="str">
        <f t="shared" si="6"/>
        <v>2.支出</v>
      </c>
      <c r="O27" s="33" t="str">
        <f t="shared" si="3"/>
        <v>31(水)</v>
      </c>
      <c r="P27" s="29"/>
    </row>
    <row r="28" spans="1:16" ht="18.75">
      <c r="A28" s="3">
        <v>43131</v>
      </c>
      <c r="B28" s="3" t="s">
        <v>105</v>
      </c>
      <c r="C28" s="4" t="s">
        <v>11</v>
      </c>
      <c r="D28" s="5">
        <v>500</v>
      </c>
      <c r="E28" s="5"/>
      <c r="F28" s="5">
        <v>500</v>
      </c>
      <c r="G28" s="5">
        <f t="shared" si="4"/>
        <v>3624</v>
      </c>
      <c r="H28" s="37" t="str">
        <f>VLOOKUP($B28,'取引リスト'!$A:$C,COLUMN('取引リスト'!B30),FALSE)</f>
        <v>人件費</v>
      </c>
      <c r="I28" s="37" t="str">
        <f>VLOOKUP($B28,'取引リスト'!$A:$C,COLUMN('取引リスト'!C30),FALSE)</f>
        <v>A.経常収支</v>
      </c>
      <c r="J28" s="12">
        <f t="shared" si="5"/>
        <v>-500</v>
      </c>
      <c r="K28" s="25">
        <f t="shared" si="0"/>
        <v>2018</v>
      </c>
      <c r="L28" s="13">
        <f t="shared" si="1"/>
        <v>1</v>
      </c>
      <c r="M28" s="27">
        <f t="shared" si="2"/>
        <v>31</v>
      </c>
      <c r="N28" s="14" t="str">
        <f t="shared" si="6"/>
        <v>2.支出</v>
      </c>
      <c r="O28" s="33" t="str">
        <f t="shared" si="3"/>
        <v>31(水)</v>
      </c>
      <c r="P28" s="29"/>
    </row>
    <row r="29" spans="1:16" ht="18.75">
      <c r="A29" s="3">
        <v>43131</v>
      </c>
      <c r="B29" s="3" t="s">
        <v>86</v>
      </c>
      <c r="C29" s="4" t="s">
        <v>20</v>
      </c>
      <c r="D29" s="5">
        <v>2700</v>
      </c>
      <c r="E29" s="5"/>
      <c r="F29" s="5">
        <v>2700</v>
      </c>
      <c r="G29" s="5">
        <f t="shared" si="4"/>
        <v>924</v>
      </c>
      <c r="H29" s="37" t="str">
        <f>VLOOKUP($B29,'取引リスト'!$A:$C,COLUMN('取引リスト'!B31),FALSE)</f>
        <v>仕入</v>
      </c>
      <c r="I29" s="37" t="str">
        <f>VLOOKUP($B29,'取引リスト'!$A:$C,COLUMN('取引リスト'!C31),FALSE)</f>
        <v>A.経常収支</v>
      </c>
      <c r="J29" s="12">
        <f t="shared" si="5"/>
        <v>-2700</v>
      </c>
      <c r="K29" s="25">
        <f t="shared" si="0"/>
        <v>2018</v>
      </c>
      <c r="L29" s="13">
        <f t="shared" si="1"/>
        <v>1</v>
      </c>
      <c r="M29" s="27">
        <f t="shared" si="2"/>
        <v>31</v>
      </c>
      <c r="N29" s="14" t="str">
        <f t="shared" si="6"/>
        <v>2.支出</v>
      </c>
      <c r="O29" s="33" t="str">
        <f t="shared" si="3"/>
        <v>31(水)</v>
      </c>
      <c r="P29" s="29"/>
    </row>
    <row r="30" spans="1:16" ht="18.75">
      <c r="A30" s="3">
        <v>43151</v>
      </c>
      <c r="B30" s="3" t="s">
        <v>28</v>
      </c>
      <c r="C30" s="4" t="s">
        <v>9</v>
      </c>
      <c r="D30" s="5">
        <v>300</v>
      </c>
      <c r="E30" s="5"/>
      <c r="F30" s="5">
        <v>300</v>
      </c>
      <c r="G30" s="5">
        <f t="shared" si="4"/>
        <v>624</v>
      </c>
      <c r="H30" s="37" t="str">
        <f>VLOOKUP($B30,'取引リスト'!$A:$C,COLUMN('取引リスト'!B32),FALSE)</f>
        <v>人件費</v>
      </c>
      <c r="I30" s="37" t="str">
        <f>VLOOKUP($B30,'取引リスト'!$A:$C,COLUMN('取引リスト'!C32),FALSE)</f>
        <v>A.経常収支</v>
      </c>
      <c r="J30" s="12">
        <f t="shared" si="5"/>
        <v>-300</v>
      </c>
      <c r="K30" s="25">
        <f t="shared" si="0"/>
        <v>2018</v>
      </c>
      <c r="L30" s="13">
        <f t="shared" si="1"/>
        <v>2</v>
      </c>
      <c r="M30" s="27">
        <f t="shared" si="2"/>
        <v>20</v>
      </c>
      <c r="N30" s="14" t="str">
        <f t="shared" si="6"/>
        <v>2.支出</v>
      </c>
      <c r="O30" s="33" t="str">
        <f t="shared" si="3"/>
        <v>20(火)</v>
      </c>
      <c r="P30" s="29"/>
    </row>
    <row r="31" spans="1:16" ht="18.75">
      <c r="A31" s="3">
        <v>43154</v>
      </c>
      <c r="B31" s="3" t="s">
        <v>88</v>
      </c>
      <c r="C31" s="4" t="s">
        <v>21</v>
      </c>
      <c r="D31" s="5">
        <v>5640</v>
      </c>
      <c r="E31" s="5">
        <v>5640</v>
      </c>
      <c r="F31" s="5"/>
      <c r="G31" s="5">
        <f t="shared" si="4"/>
        <v>6264</v>
      </c>
      <c r="H31" s="37" t="str">
        <f>VLOOKUP($B31,'取引リスト'!$A:$C,COLUMN('取引リスト'!B33),FALSE)</f>
        <v>売上(手形)</v>
      </c>
      <c r="I31" s="37" t="str">
        <f>VLOOKUP($B31,'取引リスト'!$A:$C,COLUMN('取引リスト'!C33),FALSE)</f>
        <v>A.経常収支</v>
      </c>
      <c r="J31" s="12">
        <f t="shared" si="5"/>
        <v>5640</v>
      </c>
      <c r="K31" s="25">
        <f t="shared" si="0"/>
        <v>2018</v>
      </c>
      <c r="L31" s="13">
        <f t="shared" si="1"/>
        <v>2</v>
      </c>
      <c r="M31" s="27">
        <f t="shared" si="2"/>
        <v>23</v>
      </c>
      <c r="N31" s="14" t="str">
        <f t="shared" si="6"/>
        <v>1.収入</v>
      </c>
      <c r="O31" s="33" t="str">
        <f t="shared" si="3"/>
        <v>23(金)</v>
      </c>
      <c r="P31" s="29"/>
    </row>
    <row r="32" spans="1:16" ht="18.75">
      <c r="A32" s="3">
        <v>43159</v>
      </c>
      <c r="B32" s="3" t="s">
        <v>36</v>
      </c>
      <c r="C32" s="4" t="s">
        <v>10</v>
      </c>
      <c r="D32" s="5">
        <v>250</v>
      </c>
      <c r="E32" s="5"/>
      <c r="F32" s="5">
        <v>250</v>
      </c>
      <c r="G32" s="5">
        <f t="shared" si="4"/>
        <v>6014</v>
      </c>
      <c r="H32" s="37" t="str">
        <f>VLOOKUP($B32,'取引リスト'!$A:$C,COLUMN('取引リスト'!B34),FALSE)</f>
        <v>地代家賃</v>
      </c>
      <c r="I32" s="37" t="str">
        <f>VLOOKUP($B32,'取引リスト'!$A:$C,COLUMN('取引リスト'!C34),FALSE)</f>
        <v>A.経常収支</v>
      </c>
      <c r="J32" s="12">
        <f t="shared" si="5"/>
        <v>-250</v>
      </c>
      <c r="K32" s="25">
        <f t="shared" si="0"/>
        <v>2018</v>
      </c>
      <c r="L32" s="13">
        <f t="shared" si="1"/>
        <v>2</v>
      </c>
      <c r="M32" s="27">
        <f t="shared" si="2"/>
        <v>28</v>
      </c>
      <c r="N32" s="14" t="str">
        <f t="shared" si="6"/>
        <v>2.支出</v>
      </c>
      <c r="O32" s="33" t="str">
        <f t="shared" si="3"/>
        <v>28(水)</v>
      </c>
      <c r="P32" s="29"/>
    </row>
    <row r="33" spans="1:16" ht="18.75">
      <c r="A33" s="3">
        <v>43159</v>
      </c>
      <c r="B33" s="3" t="s">
        <v>105</v>
      </c>
      <c r="C33" s="4" t="s">
        <v>11</v>
      </c>
      <c r="D33" s="5">
        <v>500</v>
      </c>
      <c r="E33" s="5"/>
      <c r="F33" s="5">
        <v>500</v>
      </c>
      <c r="G33" s="5">
        <f t="shared" si="4"/>
        <v>5514</v>
      </c>
      <c r="H33" s="37" t="str">
        <f>VLOOKUP($B33,'取引リスト'!$A:$C,COLUMN('取引リスト'!B35),FALSE)</f>
        <v>人件費</v>
      </c>
      <c r="I33" s="37" t="str">
        <f>VLOOKUP($B33,'取引リスト'!$A:$C,COLUMN('取引リスト'!C35),FALSE)</f>
        <v>A.経常収支</v>
      </c>
      <c r="J33" s="12">
        <f t="shared" si="5"/>
        <v>-500</v>
      </c>
      <c r="K33" s="25">
        <f t="shared" si="0"/>
        <v>2018</v>
      </c>
      <c r="L33" s="13">
        <f t="shared" si="1"/>
        <v>2</v>
      </c>
      <c r="M33" s="27">
        <f t="shared" si="2"/>
        <v>28</v>
      </c>
      <c r="N33" s="14" t="str">
        <f t="shared" si="6"/>
        <v>2.支出</v>
      </c>
      <c r="O33" s="33" t="str">
        <f t="shared" si="3"/>
        <v>28(水)</v>
      </c>
      <c r="P33" s="29"/>
    </row>
    <row r="34" spans="1:17" ht="18.75">
      <c r="A34" s="3">
        <v>43159</v>
      </c>
      <c r="B34" s="3" t="s">
        <v>86</v>
      </c>
      <c r="C34" s="4" t="s">
        <v>22</v>
      </c>
      <c r="D34" s="5">
        <v>2400</v>
      </c>
      <c r="E34" s="5"/>
      <c r="F34" s="5">
        <v>2400</v>
      </c>
      <c r="G34" s="5">
        <f t="shared" si="4"/>
        <v>3114</v>
      </c>
      <c r="H34" s="37" t="str">
        <f>VLOOKUP($B34,'取引リスト'!$A:$C,COLUMN('取引リスト'!B36),FALSE)</f>
        <v>仕入</v>
      </c>
      <c r="I34" s="37" t="str">
        <f>VLOOKUP($B34,'取引リスト'!$A:$C,COLUMN('取引リスト'!C36),FALSE)</f>
        <v>A.経常収支</v>
      </c>
      <c r="J34" s="12">
        <f t="shared" si="5"/>
        <v>-2400</v>
      </c>
      <c r="K34" s="25">
        <f t="shared" si="0"/>
        <v>2018</v>
      </c>
      <c r="L34" s="13">
        <f t="shared" si="1"/>
        <v>2</v>
      </c>
      <c r="M34" s="27">
        <f t="shared" si="2"/>
        <v>28</v>
      </c>
      <c r="N34" s="14" t="str">
        <f t="shared" si="6"/>
        <v>2.支出</v>
      </c>
      <c r="O34" s="33" t="str">
        <f aca="true" t="shared" si="7" ref="O34:O65">TEXT(DAY(A34),"00")&amp;"("&amp;TEXT(A34,"aaa")&amp;")"</f>
        <v>28(水)</v>
      </c>
      <c r="P34" s="29"/>
      <c r="Q34" s="29" t="s">
        <v>123</v>
      </c>
    </row>
    <row r="35" spans="1:17" ht="18.75">
      <c r="A35" s="3">
        <f>IF(M35=0,"",IF(M35="末",EDATE(DATE(K35,L35,1),1)-1,DATE(K35,L35,M35)))</f>
        <v>43164</v>
      </c>
      <c r="B35" s="3" t="str">
        <f>IF('予定入力'!B2="","",'予定入力'!B2)</f>
        <v>丸太町商店</v>
      </c>
      <c r="C35" s="4"/>
      <c r="D35" s="5"/>
      <c r="E35" s="5"/>
      <c r="F35" s="5"/>
      <c r="G35" s="5"/>
      <c r="H35" s="38" t="str">
        <f>VLOOKUP($B35,'取引リスト'!$A:$C,COLUMN('取引リスト'!B37),FALSE)</f>
        <v>売上(手形)</v>
      </c>
      <c r="I35" s="38" t="str">
        <f>VLOOKUP($B35,'取引リスト'!$A:$C,COLUMN('取引リスト'!C37),FALSE)</f>
        <v>A.経常収支</v>
      </c>
      <c r="J35" s="39">
        <f>_xlfn.IFERROR(INDEX('予定入力'!$B$1:$J$20,MATCH($B35,'予定入力'!$B$1:$B$20,0),MATCH($L35,'予定入力'!$B$1:$J$1,0)),0)</f>
        <v>6000</v>
      </c>
      <c r="K35" s="40">
        <v>2018</v>
      </c>
      <c r="L35" s="41">
        <v>3</v>
      </c>
      <c r="M35" s="42">
        <f>_xlfn.IFERROR(INDEX('予定入力'!$B$1:$J$20,MATCH($B35,'予定入力'!$B$1:$B$20,0),MATCH($M$1,'予定入力'!$B$1:$J$1,0)),0)</f>
        <v>5</v>
      </c>
      <c r="N35" s="43" t="str">
        <f t="shared" si="6"/>
        <v>1.収入</v>
      </c>
      <c r="O35" s="44" t="str">
        <f t="shared" si="7"/>
        <v>05(月)</v>
      </c>
      <c r="P35" s="29"/>
      <c r="Q35" s="29" t="s">
        <v>124</v>
      </c>
    </row>
    <row r="36" spans="1:16" ht="18.75">
      <c r="A36" s="3">
        <f aca="true" t="shared" si="8" ref="A36:A115">IF(M36=0,"",IF(M36="末",EDATE(DATE(K36,L36,1),1)-1,DATE(K36,L36,M36)))</f>
        <v>43184</v>
      </c>
      <c r="B36" s="3" t="str">
        <f>IF('予定入力'!B3="","",'予定入力'!B3)</f>
        <v>現金売上</v>
      </c>
      <c r="C36" s="4"/>
      <c r="D36" s="5"/>
      <c r="E36" s="5"/>
      <c r="F36" s="5"/>
      <c r="G36" s="5"/>
      <c r="H36" s="38" t="str">
        <f>VLOOKUP($B36,'取引リスト'!$A:$C,COLUMN('取引リスト'!B38),FALSE)</f>
        <v>売上(現金)</v>
      </c>
      <c r="I36" s="38" t="str">
        <f>VLOOKUP($B36,'取引リスト'!$A:$C,COLUMN('取引リスト'!C38),FALSE)</f>
        <v>A.経常収支</v>
      </c>
      <c r="J36" s="39">
        <f>_xlfn.IFERROR(INDEX('予定入力'!$B$1:$J$20,MATCH($B36,'予定入力'!$B$1:$B$20,0),MATCH($L36,'予定入力'!$B$1:$J$1,0)),0)</f>
        <v>0</v>
      </c>
      <c r="K36" s="40">
        <v>2018</v>
      </c>
      <c r="L36" s="41">
        <v>3</v>
      </c>
      <c r="M36" s="42">
        <f>_xlfn.IFERROR(INDEX('予定入力'!$B$1:$J$20,MATCH($B36,'予定入力'!$B$1:$B$20,0),MATCH($M$1,'予定入力'!$B$1:$J$1,0)),0)</f>
        <v>25</v>
      </c>
      <c r="N36" s="43">
        <f t="shared" si="6"/>
      </c>
      <c r="O36" s="44" t="str">
        <f t="shared" si="7"/>
        <v>25(日)</v>
      </c>
      <c r="P36" s="29"/>
    </row>
    <row r="37" spans="1:16" ht="18.75">
      <c r="A37" s="3">
        <f t="shared" si="8"/>
      </c>
      <c r="B37" s="3">
        <f>IF('予定入力'!B4="","",'予定入力'!B4)</f>
      </c>
      <c r="C37" s="4"/>
      <c r="D37" s="5"/>
      <c r="E37" s="5"/>
      <c r="F37" s="5"/>
      <c r="G37" s="5"/>
      <c r="H37" s="38" t="e">
        <f>VLOOKUP($B37,'取引リスト'!$A:$C,COLUMN('取引リスト'!B39),FALSE)</f>
        <v>#N/A</v>
      </c>
      <c r="I37" s="38" t="e">
        <f>VLOOKUP($B37,'取引リスト'!$A:$C,COLUMN('取引リスト'!C39),FALSE)</f>
        <v>#N/A</v>
      </c>
      <c r="J37" s="39">
        <f>_xlfn.IFERROR(INDEX('予定入力'!$B$1:$J$20,MATCH($B37,'予定入力'!$B$1:$B$20,0),MATCH($L37,'予定入力'!$B$1:$J$1,0)),0)</f>
        <v>0</v>
      </c>
      <c r="K37" s="40">
        <v>2018</v>
      </c>
      <c r="L37" s="41">
        <v>3</v>
      </c>
      <c r="M37" s="42">
        <f>_xlfn.IFERROR(INDEX('予定入力'!$B$1:$J$20,MATCH($B37,'予定入力'!$B$1:$B$20,0),MATCH($M$1,'予定入力'!$B$1:$J$1,0)),0)</f>
        <v>0</v>
      </c>
      <c r="N37" s="43">
        <f t="shared" si="6"/>
      </c>
      <c r="O37" s="44" t="e">
        <f t="shared" si="7"/>
        <v>#VALUE!</v>
      </c>
      <c r="P37" s="29"/>
    </row>
    <row r="38" spans="1:16" ht="18.75">
      <c r="A38" s="3">
        <f t="shared" si="8"/>
        <v>43190</v>
      </c>
      <c r="B38" s="3" t="str">
        <f>IF('予定入力'!B5="","",'予定入力'!B5)</f>
        <v>六角物産</v>
      </c>
      <c r="C38" s="4"/>
      <c r="D38" s="5"/>
      <c r="E38" s="5"/>
      <c r="F38" s="5"/>
      <c r="G38" s="5"/>
      <c r="H38" s="38" t="str">
        <f>VLOOKUP($B38,'取引リスト'!$A:$C,COLUMN('取引リスト'!B40),FALSE)</f>
        <v>仕入</v>
      </c>
      <c r="I38" s="38" t="str">
        <f>VLOOKUP($B38,'取引リスト'!$A:$C,COLUMN('取引リスト'!C40),FALSE)</f>
        <v>A.経常収支</v>
      </c>
      <c r="J38" s="39">
        <f>_xlfn.IFERROR(INDEX('予定入力'!$B$1:$J$20,MATCH($B38,'予定入力'!$B$1:$B$20,0),MATCH($L38,'予定入力'!$B$1:$J$1,0)),0)</f>
        <v>-2400</v>
      </c>
      <c r="K38" s="40">
        <v>2018</v>
      </c>
      <c r="L38" s="41">
        <v>3</v>
      </c>
      <c r="M38" s="42" t="str">
        <f>_xlfn.IFERROR(INDEX('予定入力'!$B$1:$J$20,MATCH($B38,'予定入力'!$B$1:$B$20,0),MATCH($M$1,'予定入力'!$B$1:$J$1,0)),0)</f>
        <v>末</v>
      </c>
      <c r="N38" s="43" t="str">
        <f t="shared" si="6"/>
        <v>2.支出</v>
      </c>
      <c r="O38" s="44" t="str">
        <f t="shared" si="7"/>
        <v>31(土)</v>
      </c>
      <c r="P38" s="29"/>
    </row>
    <row r="39" spans="1:16" ht="18.75">
      <c r="A39" s="3">
        <f t="shared" si="8"/>
        <v>43174</v>
      </c>
      <c r="B39" s="3" t="str">
        <f>IF('予定入力'!B6="","",'予定入力'!B6)</f>
        <v>姉小路商事</v>
      </c>
      <c r="C39" s="4"/>
      <c r="D39" s="5"/>
      <c r="E39" s="5"/>
      <c r="F39" s="5"/>
      <c r="G39" s="5"/>
      <c r="H39" s="38" t="str">
        <f>VLOOKUP($B39,'取引リスト'!$A:$C,COLUMN('取引リスト'!B41),FALSE)</f>
        <v>仕入</v>
      </c>
      <c r="I39" s="38" t="str">
        <f>VLOOKUP($B39,'取引リスト'!$A:$C,COLUMN('取引リスト'!C41),FALSE)</f>
        <v>A.経常収支</v>
      </c>
      <c r="J39" s="39">
        <f>_xlfn.IFERROR(INDEX('予定入力'!$B$1:$J$20,MATCH($B39,'予定入力'!$B$1:$B$20,0),MATCH($L39,'予定入力'!$B$1:$J$1,0)),0)</f>
        <v>0</v>
      </c>
      <c r="K39" s="40">
        <v>2018</v>
      </c>
      <c r="L39" s="41">
        <v>3</v>
      </c>
      <c r="M39" s="42">
        <f>_xlfn.IFERROR(INDEX('予定入力'!$B$1:$J$20,MATCH($B39,'予定入力'!$B$1:$B$20,0),MATCH($M$1,'予定入力'!$B$1:$J$1,0)),0)</f>
        <v>15</v>
      </c>
      <c r="N39" s="43">
        <f t="shared" si="6"/>
      </c>
      <c r="O39" s="44" t="str">
        <f t="shared" si="7"/>
        <v>15(木)</v>
      </c>
      <c r="P39" s="29"/>
    </row>
    <row r="40" spans="1:16" ht="18.75">
      <c r="A40" s="3">
        <f t="shared" si="8"/>
      </c>
      <c r="B40" s="3">
        <f>IF('予定入力'!B7="","",'予定入力'!B7)</f>
      </c>
      <c r="C40" s="4"/>
      <c r="D40" s="5"/>
      <c r="E40" s="5"/>
      <c r="F40" s="5"/>
      <c r="G40" s="5"/>
      <c r="H40" s="38" t="e">
        <f>VLOOKUP($B40,'取引リスト'!$A:$C,COLUMN('取引リスト'!B42),FALSE)</f>
        <v>#N/A</v>
      </c>
      <c r="I40" s="38" t="e">
        <f>VLOOKUP($B40,'取引リスト'!$A:$C,COLUMN('取引リスト'!C42),FALSE)</f>
        <v>#N/A</v>
      </c>
      <c r="J40" s="39">
        <f>_xlfn.IFERROR(INDEX('予定入力'!$B$1:$J$20,MATCH($B40,'予定入力'!$B$1:$B$20,0),MATCH($L40,'予定入力'!$B$1:$J$1,0)),0)</f>
        <v>0</v>
      </c>
      <c r="K40" s="40">
        <v>2018</v>
      </c>
      <c r="L40" s="41">
        <v>3</v>
      </c>
      <c r="M40" s="42">
        <f>_xlfn.IFERROR(INDEX('予定入力'!$B$1:$J$20,MATCH($B40,'予定入力'!$B$1:$B$20,0),MATCH($M$1,'予定入力'!$B$1:$J$1,0)),0)</f>
        <v>0</v>
      </c>
      <c r="N40" s="43">
        <f t="shared" si="6"/>
      </c>
      <c r="O40" s="44" t="e">
        <f t="shared" si="7"/>
        <v>#VALUE!</v>
      </c>
      <c r="P40" s="29"/>
    </row>
    <row r="41" spans="1:16" ht="18.75">
      <c r="A41" s="3">
        <f t="shared" si="8"/>
        <v>43190</v>
      </c>
      <c r="B41" s="3" t="str">
        <f>IF('予定入力'!B8="","",'予定入力'!B8)</f>
        <v>西洞院不動産</v>
      </c>
      <c r="C41" s="4"/>
      <c r="D41" s="5"/>
      <c r="E41" s="5"/>
      <c r="F41" s="5"/>
      <c r="G41" s="5"/>
      <c r="H41" s="38" t="str">
        <f>VLOOKUP($B41,'取引リスト'!$A:$C,COLUMN('取引リスト'!B43),FALSE)</f>
        <v>地代家賃</v>
      </c>
      <c r="I41" s="38" t="str">
        <f>VLOOKUP($B41,'取引リスト'!$A:$C,COLUMN('取引リスト'!C43),FALSE)</f>
        <v>A.経常収支</v>
      </c>
      <c r="J41" s="39">
        <f>_xlfn.IFERROR(INDEX('予定入力'!$B$1:$J$20,MATCH($B41,'予定入力'!$B$1:$B$20,0),MATCH($L41,'予定入力'!$B$1:$J$1,0)),0)</f>
        <v>-250</v>
      </c>
      <c r="K41" s="40">
        <v>2018</v>
      </c>
      <c r="L41" s="41">
        <v>3</v>
      </c>
      <c r="M41" s="42" t="str">
        <f>_xlfn.IFERROR(INDEX('予定入力'!$B$1:$J$20,MATCH($B41,'予定入力'!$B$1:$B$20,0),MATCH($M$1,'予定入力'!$B$1:$J$1,0)),0)</f>
        <v>末</v>
      </c>
      <c r="N41" s="43" t="str">
        <f t="shared" si="6"/>
        <v>2.支出</v>
      </c>
      <c r="O41" s="44" t="str">
        <f t="shared" si="7"/>
        <v>31(土)</v>
      </c>
      <c r="P41" s="29"/>
    </row>
    <row r="42" spans="1:16" ht="18.75">
      <c r="A42" s="3">
        <f t="shared" si="8"/>
        <v>43179</v>
      </c>
      <c r="B42" s="3" t="str">
        <f>IF('予定入力'!B9="","",'予定入力'!B9)</f>
        <v>従業員</v>
      </c>
      <c r="C42" s="4"/>
      <c r="D42" s="5"/>
      <c r="E42" s="5"/>
      <c r="F42" s="5"/>
      <c r="G42" s="5"/>
      <c r="H42" s="38" t="str">
        <f>VLOOKUP($B42,'取引リスト'!$A:$C,COLUMN('取引リスト'!B44),FALSE)</f>
        <v>人件費</v>
      </c>
      <c r="I42" s="38" t="str">
        <f>VLOOKUP($B42,'取引リスト'!$A:$C,COLUMN('取引リスト'!C44),FALSE)</f>
        <v>A.経常収支</v>
      </c>
      <c r="J42" s="39">
        <f>_xlfn.IFERROR(INDEX('予定入力'!$B$1:$J$20,MATCH($B42,'予定入力'!$B$1:$B$20,0),MATCH($L42,'予定入力'!$B$1:$J$1,0)),0)</f>
        <v>-300</v>
      </c>
      <c r="K42" s="40">
        <v>2018</v>
      </c>
      <c r="L42" s="41">
        <v>3</v>
      </c>
      <c r="M42" s="42">
        <f>_xlfn.IFERROR(INDEX('予定入力'!$B$1:$J$20,MATCH($B42,'予定入力'!$B$1:$B$20,0),MATCH($M$1,'予定入力'!$B$1:$J$1,0)),0)</f>
        <v>20</v>
      </c>
      <c r="N42" s="43" t="str">
        <f t="shared" si="6"/>
        <v>2.支出</v>
      </c>
      <c r="O42" s="44" t="str">
        <f t="shared" si="7"/>
        <v>20(火)</v>
      </c>
      <c r="P42" s="29"/>
    </row>
    <row r="43" spans="1:16" ht="18.75">
      <c r="A43" s="3">
        <f t="shared" si="8"/>
        <v>43190</v>
      </c>
      <c r="B43" s="3" t="str">
        <f>IF('予定入力'!B10="","",'予定入力'!B10)</f>
        <v>役員報酬</v>
      </c>
      <c r="C43" s="4"/>
      <c r="D43" s="5"/>
      <c r="E43" s="5"/>
      <c r="F43" s="5"/>
      <c r="G43" s="5"/>
      <c r="H43" s="38" t="str">
        <f>VLOOKUP($B43,'取引リスト'!$A:$C,COLUMN('取引リスト'!B45),FALSE)</f>
        <v>人件費</v>
      </c>
      <c r="I43" s="38" t="str">
        <f>VLOOKUP($B43,'取引リスト'!$A:$C,COLUMN('取引リスト'!C45),FALSE)</f>
        <v>A.経常収支</v>
      </c>
      <c r="J43" s="39">
        <f>_xlfn.IFERROR(INDEX('予定入力'!$B$1:$J$20,MATCH($B43,'予定入力'!$B$1:$B$20,0),MATCH($L43,'予定入力'!$B$1:$J$1,0)),0)</f>
        <v>-500</v>
      </c>
      <c r="K43" s="40">
        <v>2018</v>
      </c>
      <c r="L43" s="41">
        <v>3</v>
      </c>
      <c r="M43" s="42" t="str">
        <f>_xlfn.IFERROR(INDEX('予定入力'!$B$1:$J$20,MATCH($B43,'予定入力'!$B$1:$B$20,0),MATCH($M$1,'予定入力'!$B$1:$J$1,0)),0)</f>
        <v>末</v>
      </c>
      <c r="N43" s="43" t="str">
        <f t="shared" si="6"/>
        <v>2.支出</v>
      </c>
      <c r="O43" s="44" t="str">
        <f t="shared" si="7"/>
        <v>31(土)</v>
      </c>
      <c r="P43" s="29"/>
    </row>
    <row r="44" spans="1:16" ht="18.75">
      <c r="A44" s="3">
        <f t="shared" si="8"/>
      </c>
      <c r="B44" s="3">
        <f>IF('予定入力'!B11="","",'予定入力'!B11)</f>
      </c>
      <c r="C44" s="4"/>
      <c r="D44" s="5"/>
      <c r="E44" s="5"/>
      <c r="F44" s="5"/>
      <c r="G44" s="5"/>
      <c r="H44" s="38" t="e">
        <f>VLOOKUP($B44,'取引リスト'!$A:$C,COLUMN('取引リスト'!B46),FALSE)</f>
        <v>#N/A</v>
      </c>
      <c r="I44" s="38" t="e">
        <f>VLOOKUP($B44,'取引リスト'!$A:$C,COLUMN('取引リスト'!C46),FALSE)</f>
        <v>#N/A</v>
      </c>
      <c r="J44" s="39">
        <f>_xlfn.IFERROR(INDEX('予定入力'!$B$1:$J$20,MATCH($B44,'予定入力'!$B$1:$B$20,0),MATCH($L44,'予定入力'!$B$1:$J$1,0)),0)</f>
        <v>0</v>
      </c>
      <c r="K44" s="40">
        <v>2018</v>
      </c>
      <c r="L44" s="41">
        <v>3</v>
      </c>
      <c r="M44" s="42">
        <f>_xlfn.IFERROR(INDEX('予定入力'!$B$1:$J$20,MATCH($B44,'予定入力'!$B$1:$B$20,0),MATCH($M$1,'予定入力'!$B$1:$J$1,0)),0)</f>
        <v>0</v>
      </c>
      <c r="N44" s="43">
        <f t="shared" si="6"/>
      </c>
      <c r="O44" s="44" t="e">
        <f t="shared" si="7"/>
        <v>#VALUE!</v>
      </c>
      <c r="P44" s="29"/>
    </row>
    <row r="45" spans="1:16" ht="18.75">
      <c r="A45" s="3">
        <f t="shared" si="8"/>
      </c>
      <c r="B45" s="3" t="str">
        <f>IF('予定入力'!B12="","",'予定入力'!B12)</f>
        <v>役員借入</v>
      </c>
      <c r="C45" s="4"/>
      <c r="D45" s="5"/>
      <c r="E45" s="5"/>
      <c r="F45" s="5"/>
      <c r="G45" s="5"/>
      <c r="H45" s="38" t="str">
        <f>VLOOKUP($B45,'取引リスト'!$A:$C,COLUMN('取引リスト'!B47),FALSE)</f>
        <v>役員借入</v>
      </c>
      <c r="I45" s="38" t="str">
        <f>VLOOKUP($B45,'取引リスト'!$A:$C,COLUMN('取引リスト'!C47),FALSE)</f>
        <v>C.財務収支</v>
      </c>
      <c r="J45" s="39">
        <f>_xlfn.IFERROR(INDEX('予定入力'!$B$1:$J$20,MATCH($B45,'予定入力'!$B$1:$B$20,0),MATCH($L45,'予定入力'!$B$1:$J$1,0)),0)</f>
        <v>0</v>
      </c>
      <c r="K45" s="40">
        <v>2018</v>
      </c>
      <c r="L45" s="41">
        <v>3</v>
      </c>
      <c r="M45" s="42">
        <f>_xlfn.IFERROR(INDEX('予定入力'!$B$1:$J$20,MATCH($B45,'予定入力'!$B$1:$B$20,0),MATCH($M$1,'予定入力'!$B$1:$J$1,0)),0)</f>
        <v>0</v>
      </c>
      <c r="N45" s="43">
        <f t="shared" si="6"/>
      </c>
      <c r="O45" s="44" t="e">
        <f t="shared" si="7"/>
        <v>#VALUE!</v>
      </c>
      <c r="P45" s="29"/>
    </row>
    <row r="46" spans="1:16" ht="18.75">
      <c r="A46" s="3">
        <f t="shared" si="8"/>
        <v>43160</v>
      </c>
      <c r="B46" s="3" t="str">
        <f>IF('予定入力'!B13="","",'予定入力'!B13)</f>
        <v>役員返済</v>
      </c>
      <c r="C46" s="4"/>
      <c r="D46" s="5"/>
      <c r="E46" s="5"/>
      <c r="F46" s="5"/>
      <c r="G46" s="5"/>
      <c r="H46" s="38" t="str">
        <f>VLOOKUP($B46,'取引リスト'!$A:$C,COLUMN('取引リスト'!B48),FALSE)</f>
        <v>役員返済</v>
      </c>
      <c r="I46" s="38" t="str">
        <f>VLOOKUP($B46,'取引リスト'!$A:$C,COLUMN('取引リスト'!C48),FALSE)</f>
        <v>C.財務収支</v>
      </c>
      <c r="J46" s="39">
        <f>_xlfn.IFERROR(INDEX('予定入力'!$B$1:$J$20,MATCH($B46,'予定入力'!$B$1:$B$20,0),MATCH($L46,'予定入力'!$B$1:$J$1,0)),0)</f>
        <v>-1000</v>
      </c>
      <c r="K46" s="40">
        <v>2018</v>
      </c>
      <c r="L46" s="41">
        <v>3</v>
      </c>
      <c r="M46" s="42">
        <f>_xlfn.IFERROR(INDEX('予定入力'!$B$1:$J$20,MATCH($B46,'予定入力'!$B$1:$B$20,0),MATCH($M$1,'予定入力'!$B$1:$J$1,0)),0)</f>
        <v>1</v>
      </c>
      <c r="N46" s="43" t="str">
        <f t="shared" si="6"/>
        <v>2.支出</v>
      </c>
      <c r="O46" s="44" t="str">
        <f t="shared" si="7"/>
        <v>01(木)</v>
      </c>
      <c r="P46" s="29"/>
    </row>
    <row r="47" spans="1:16" ht="18.75">
      <c r="A47" s="3">
        <f t="shared" si="8"/>
        <v>43164</v>
      </c>
      <c r="B47" s="3" t="str">
        <f>IF('予定入力'!B14="","",'予定入力'!B14)</f>
        <v>堀川銀行借入</v>
      </c>
      <c r="C47" s="4"/>
      <c r="D47" s="5"/>
      <c r="E47" s="5"/>
      <c r="F47" s="5"/>
      <c r="G47" s="5"/>
      <c r="H47" s="38" t="str">
        <f>VLOOKUP($B47,'取引リスト'!$A:$C,COLUMN('取引リスト'!B49),FALSE)</f>
        <v>銀行借入</v>
      </c>
      <c r="I47" s="38" t="str">
        <f>VLOOKUP($B47,'取引リスト'!$A:$C,COLUMN('取引リスト'!C49),FALSE)</f>
        <v>C.財務収支</v>
      </c>
      <c r="J47" s="39">
        <f>_xlfn.IFERROR(INDEX('予定入力'!$B$1:$J$20,MATCH($B47,'予定入力'!$B$1:$B$20,0),MATCH($L47,'予定入力'!$B$1:$J$1,0)),0)</f>
        <v>0</v>
      </c>
      <c r="K47" s="40">
        <v>2018</v>
      </c>
      <c r="L47" s="41">
        <v>3</v>
      </c>
      <c r="M47" s="42">
        <f>_xlfn.IFERROR(INDEX('予定入力'!$B$1:$J$20,MATCH($B47,'予定入力'!$B$1:$B$20,0),MATCH($M$1,'予定入力'!$B$1:$J$1,0)),0)</f>
        <v>5</v>
      </c>
      <c r="N47" s="43">
        <f t="shared" si="6"/>
      </c>
      <c r="O47" s="44" t="str">
        <f t="shared" si="7"/>
        <v>05(月)</v>
      </c>
      <c r="P47" s="29"/>
    </row>
    <row r="48" spans="1:16" ht="18.75">
      <c r="A48" s="3">
        <f t="shared" si="8"/>
        <v>43169</v>
      </c>
      <c r="B48" s="3" t="str">
        <f>IF('予定入力'!B15="","",'予定入力'!B15)</f>
        <v>堀川銀行利息</v>
      </c>
      <c r="C48" s="4"/>
      <c r="D48" s="5"/>
      <c r="E48" s="5"/>
      <c r="F48" s="5"/>
      <c r="G48" s="5"/>
      <c r="H48" s="38" t="str">
        <f>VLOOKUP($B48,'取引リスト'!$A:$C,COLUMN('取引リスト'!B50),FALSE)</f>
        <v>その他経費</v>
      </c>
      <c r="I48" s="38" t="str">
        <f>VLOOKUP($B48,'取引リスト'!$A:$C,COLUMN('取引リスト'!C50),FALSE)</f>
        <v>A.経常収支</v>
      </c>
      <c r="J48" s="39">
        <f>_xlfn.IFERROR(INDEX('予定入力'!$B$1:$J$20,MATCH($B48,'予定入力'!$B$1:$B$20,0),MATCH($L48,'予定入力'!$B$1:$J$1,0)),0)</f>
        <v>0</v>
      </c>
      <c r="K48" s="40">
        <v>2018</v>
      </c>
      <c r="L48" s="41">
        <v>3</v>
      </c>
      <c r="M48" s="42">
        <f>_xlfn.IFERROR(INDEX('予定入力'!$B$1:$J$20,MATCH($B48,'予定入力'!$B$1:$B$20,0),MATCH($M$1,'予定入力'!$B$1:$J$1,0)),0)</f>
        <v>10</v>
      </c>
      <c r="N48" s="43">
        <f t="shared" si="6"/>
      </c>
      <c r="O48" s="44" t="str">
        <f t="shared" si="7"/>
        <v>10(土)</v>
      </c>
      <c r="P48" s="29"/>
    </row>
    <row r="49" spans="1:16" ht="18.75">
      <c r="A49" s="3">
        <f t="shared" si="8"/>
        <v>43169</v>
      </c>
      <c r="B49" s="3" t="str">
        <f>IF('予定入力'!B16="","",'予定入力'!B16)</f>
        <v>堀川銀行返済</v>
      </c>
      <c r="C49" s="4"/>
      <c r="D49" s="5"/>
      <c r="E49" s="5"/>
      <c r="F49" s="5"/>
      <c r="G49" s="5"/>
      <c r="H49" s="38" t="str">
        <f>VLOOKUP($B49,'取引リスト'!$A:$C,COLUMN('取引リスト'!B51),FALSE)</f>
        <v>銀行返済</v>
      </c>
      <c r="I49" s="38" t="str">
        <f>VLOOKUP($B49,'取引リスト'!$A:$C,COLUMN('取引リスト'!C51),FALSE)</f>
        <v>C.財務収支</v>
      </c>
      <c r="J49" s="39">
        <f>_xlfn.IFERROR(INDEX('予定入力'!$B$1:$J$20,MATCH($B49,'予定入力'!$B$1:$B$20,0),MATCH($L49,'予定入力'!$B$1:$J$1,0)),0)</f>
        <v>0</v>
      </c>
      <c r="K49" s="40">
        <v>2018</v>
      </c>
      <c r="L49" s="41">
        <v>3</v>
      </c>
      <c r="M49" s="42">
        <f>_xlfn.IFERROR(INDEX('予定入力'!$B$1:$J$20,MATCH($B49,'予定入力'!$B$1:$B$20,0),MATCH($M$1,'予定入力'!$B$1:$J$1,0)),0)</f>
        <v>10</v>
      </c>
      <c r="N49" s="43">
        <f t="shared" si="6"/>
      </c>
      <c r="O49" s="44" t="str">
        <f t="shared" si="7"/>
        <v>10(土)</v>
      </c>
      <c r="P49" s="29"/>
    </row>
    <row r="50" spans="1:16" ht="18.75">
      <c r="A50" s="3">
        <f>IF(M50=0,"",IF(M50="末",EDATE(DATE(K50,L50,1),1)-1,DATE(K50,L50,M50)))</f>
      </c>
      <c r="B50" s="3">
        <f>IF('予定入力'!B17="","",'予定入力'!B17)</f>
      </c>
      <c r="C50" s="4"/>
      <c r="D50" s="5"/>
      <c r="E50" s="5"/>
      <c r="F50" s="5"/>
      <c r="G50" s="5"/>
      <c r="H50" s="38" t="e">
        <f>VLOOKUP($B50,'取引リスト'!$A:$C,COLUMN('取引リスト'!B52),FALSE)</f>
        <v>#N/A</v>
      </c>
      <c r="I50" s="38" t="e">
        <f>VLOOKUP($B50,'取引リスト'!$A:$C,COLUMN('取引リスト'!C52),FALSE)</f>
        <v>#N/A</v>
      </c>
      <c r="J50" s="39">
        <f>_xlfn.IFERROR(INDEX('予定入力'!$B$1:$J$20,MATCH($B50,'予定入力'!$B$1:$B$20,0),MATCH($L50,'予定入力'!$B$1:$J$1,0)),0)</f>
        <v>0</v>
      </c>
      <c r="K50" s="40">
        <v>2018</v>
      </c>
      <c r="L50" s="41">
        <v>3</v>
      </c>
      <c r="M50" s="42">
        <f>_xlfn.IFERROR(INDEX('予定入力'!$B$1:$J$20,MATCH($B50,'予定入力'!$B$1:$B$20,0),MATCH($M$1,'予定入力'!$B$1:$J$1,0)),0)</f>
        <v>0</v>
      </c>
      <c r="N50" s="43">
        <f t="shared" si="6"/>
      </c>
      <c r="O50" s="44" t="e">
        <f t="shared" si="7"/>
        <v>#VALUE!</v>
      </c>
      <c r="P50" s="29"/>
    </row>
    <row r="51" spans="1:16" ht="18.75">
      <c r="A51" s="3">
        <f>IF(M51=0,"",IF(M51="末",EDATE(DATE(K51,L51,1),1)-1,DATE(K51,L51,M51)))</f>
        <v>43164</v>
      </c>
      <c r="B51" s="3" t="str">
        <f>IF('予定入力'!B18="","",'予定入力'!B18)</f>
        <v>四条工務店</v>
      </c>
      <c r="C51" s="4"/>
      <c r="D51" s="5"/>
      <c r="E51" s="5"/>
      <c r="F51" s="5"/>
      <c r="G51" s="5"/>
      <c r="H51" s="38" t="str">
        <f>VLOOKUP($B51,'取引リスト'!$A:$C,COLUMN('取引リスト'!B53),FALSE)</f>
        <v>固定資産</v>
      </c>
      <c r="I51" s="38" t="str">
        <f>VLOOKUP($B51,'取引リスト'!$A:$C,COLUMN('取引リスト'!C53),FALSE)</f>
        <v>B.非経常収支</v>
      </c>
      <c r="J51" s="39">
        <f>_xlfn.IFERROR(INDEX('予定入力'!$B$1:$J$20,MATCH($B51,'予定入力'!$B$1:$B$20,0),MATCH($L51,'予定入力'!$B$1:$J$1,0)),0)</f>
        <v>0</v>
      </c>
      <c r="K51" s="40">
        <v>2018</v>
      </c>
      <c r="L51" s="41">
        <v>3</v>
      </c>
      <c r="M51" s="42">
        <f>_xlfn.IFERROR(INDEX('予定入力'!$B$1:$J$20,MATCH($B51,'予定入力'!$B$1:$B$20,0),MATCH($M$1,'予定入力'!$B$1:$J$1,0)),0)</f>
        <v>5</v>
      </c>
      <c r="N51" s="43">
        <f t="shared" si="6"/>
      </c>
      <c r="O51" s="44" t="str">
        <f t="shared" si="7"/>
        <v>05(月)</v>
      </c>
      <c r="P51" s="29"/>
    </row>
    <row r="52" spans="1:16" ht="18.75">
      <c r="A52" s="3">
        <f>IF(M52=0,"",IF(M52="末",EDATE(DATE(K52,L52,1),1)-1,DATE(K52,L52,M52)))</f>
      </c>
      <c r="B52" s="3">
        <f>IF('予定入力'!B19="","",'予定入力'!B19)</f>
      </c>
      <c r="C52" s="4"/>
      <c r="D52" s="5"/>
      <c r="E52" s="5"/>
      <c r="F52" s="5"/>
      <c r="G52" s="5"/>
      <c r="H52" s="38" t="e">
        <f>VLOOKUP($B52,'取引リスト'!$A:$C,COLUMN('取引リスト'!B54),FALSE)</f>
        <v>#N/A</v>
      </c>
      <c r="I52" s="38" t="e">
        <f>VLOOKUP($B52,'取引リスト'!$A:$C,COLUMN('取引リスト'!C54),FALSE)</f>
        <v>#N/A</v>
      </c>
      <c r="J52" s="39">
        <f>_xlfn.IFERROR(INDEX('予定入力'!$B$1:$J$20,MATCH($B52,'予定入力'!$B$1:$B$20,0),MATCH($L52,'予定入力'!$B$1:$J$1,0)),0)</f>
        <v>0</v>
      </c>
      <c r="K52" s="40">
        <v>2018</v>
      </c>
      <c r="L52" s="41">
        <v>3</v>
      </c>
      <c r="M52" s="42">
        <f>_xlfn.IFERROR(INDEX('予定入力'!$B$1:$J$20,MATCH($B52,'予定入力'!$B$1:$B$20,0),MATCH($M$1,'予定入力'!$B$1:$J$1,0)),0)</f>
        <v>0</v>
      </c>
      <c r="N52" s="43">
        <f t="shared" si="6"/>
      </c>
      <c r="O52" s="44" t="e">
        <f t="shared" si="7"/>
        <v>#VALUE!</v>
      </c>
      <c r="P52" s="29"/>
    </row>
    <row r="53" spans="1:16" ht="18.75">
      <c r="A53" s="3">
        <f>IF(M53=0,"",IF(M53="末",EDATE(DATE(K53,L53,1),1)-1,DATE(K53,L53,M53)))</f>
      </c>
      <c r="B53" s="3">
        <f>IF('予定入力'!B20="","",'予定入力'!B20)</f>
      </c>
      <c r="C53" s="4"/>
      <c r="D53" s="5"/>
      <c r="E53" s="5"/>
      <c r="F53" s="5"/>
      <c r="G53" s="5"/>
      <c r="H53" s="38" t="e">
        <f>VLOOKUP($B53,'取引リスト'!$A:$C,COLUMN('取引リスト'!B55),FALSE)</f>
        <v>#N/A</v>
      </c>
      <c r="I53" s="38" t="e">
        <f>VLOOKUP($B53,'取引リスト'!$A:$C,COLUMN('取引リスト'!C55),FALSE)</f>
        <v>#N/A</v>
      </c>
      <c r="J53" s="39">
        <f>_xlfn.IFERROR(INDEX('予定入力'!$B$1:$J$20,MATCH($B53,'予定入力'!$B$1:$B$20,0),MATCH($L53,'予定入力'!$B$1:$J$1,0)),0)</f>
        <v>0</v>
      </c>
      <c r="K53" s="40">
        <v>2018</v>
      </c>
      <c r="L53" s="41">
        <v>3</v>
      </c>
      <c r="M53" s="42">
        <f>_xlfn.IFERROR(INDEX('予定入力'!$B$1:$J$20,MATCH($B53,'予定入力'!$B$1:$B$20,0),MATCH($M$1,'予定入力'!$B$1:$J$1,0)),0)</f>
        <v>0</v>
      </c>
      <c r="N53" s="43">
        <f t="shared" si="6"/>
      </c>
      <c r="O53" s="44" t="e">
        <f t="shared" si="7"/>
        <v>#VALUE!</v>
      </c>
      <c r="P53" s="29"/>
    </row>
    <row r="54" spans="1:16" ht="18.75">
      <c r="A54" s="3">
        <f t="shared" si="8"/>
        <v>43195</v>
      </c>
      <c r="B54" s="3" t="str">
        <f>IF('予定入力'!B2="","",'予定入力'!B2)</f>
        <v>丸太町商店</v>
      </c>
      <c r="C54" s="4"/>
      <c r="D54" s="5"/>
      <c r="E54" s="5"/>
      <c r="F54" s="5"/>
      <c r="G54" s="5"/>
      <c r="H54" s="38" t="str">
        <f>VLOOKUP($B54,'取引リスト'!$A:$C,COLUMN('取引リスト'!B56),FALSE)</f>
        <v>売上(手形)</v>
      </c>
      <c r="I54" s="38" t="str">
        <f>VLOOKUP($B54,'取引リスト'!$A:$C,COLUMN('取引リスト'!C56),FALSE)</f>
        <v>A.経常収支</v>
      </c>
      <c r="J54" s="39">
        <f>_xlfn.IFERROR(INDEX('予定入力'!$B$1:$J$20,MATCH($B54,'予定入力'!$B$1:$B$20,0),MATCH($L54,'予定入力'!$B$1:$J$1,0)),0)</f>
        <v>6000</v>
      </c>
      <c r="K54" s="40">
        <v>2018</v>
      </c>
      <c r="L54" s="41">
        <f aca="true" t="shared" si="9" ref="L54:L68">+L35+1</f>
        <v>4</v>
      </c>
      <c r="M54" s="42">
        <f>_xlfn.IFERROR(INDEX('予定入力'!$B$1:$J$20,MATCH($B54,'予定入力'!$B$1:$B$20,0),MATCH($M$1,'予定入力'!$B$1:$J$1,0)),0)</f>
        <v>5</v>
      </c>
      <c r="N54" s="43" t="str">
        <f t="shared" si="6"/>
        <v>1.収入</v>
      </c>
      <c r="O54" s="44" t="str">
        <f t="shared" si="7"/>
        <v>05(木)</v>
      </c>
      <c r="P54" s="29"/>
    </row>
    <row r="55" spans="1:16" ht="18.75">
      <c r="A55" s="3">
        <f t="shared" si="8"/>
        <v>43215</v>
      </c>
      <c r="B55" s="3" t="str">
        <f>IF('予定入力'!B3="","",'予定入力'!B3)</f>
        <v>現金売上</v>
      </c>
      <c r="C55" s="4"/>
      <c r="D55" s="5"/>
      <c r="E55" s="5"/>
      <c r="F55" s="5"/>
      <c r="G55" s="5"/>
      <c r="H55" s="38" t="str">
        <f>VLOOKUP($B55,'取引リスト'!$A:$C,COLUMN('取引リスト'!B57),FALSE)</f>
        <v>売上(現金)</v>
      </c>
      <c r="I55" s="38" t="str">
        <f>VLOOKUP($B55,'取引リスト'!$A:$C,COLUMN('取引リスト'!C57),FALSE)</f>
        <v>A.経常収支</v>
      </c>
      <c r="J55" s="39">
        <f>_xlfn.IFERROR(INDEX('予定入力'!$B$1:$J$20,MATCH($B55,'予定入力'!$B$1:$B$20,0),MATCH($L55,'予定入力'!$B$1:$J$1,0)),0)</f>
        <v>0</v>
      </c>
      <c r="K55" s="40">
        <v>2018</v>
      </c>
      <c r="L55" s="41">
        <f t="shared" si="9"/>
        <v>4</v>
      </c>
      <c r="M55" s="42">
        <f>_xlfn.IFERROR(INDEX('予定入力'!$B$1:$J$20,MATCH($B55,'予定入力'!$B$1:$B$20,0),MATCH($M$1,'予定入力'!$B$1:$J$1,0)),0)</f>
        <v>25</v>
      </c>
      <c r="N55" s="43">
        <f t="shared" si="6"/>
      </c>
      <c r="O55" s="44" t="str">
        <f t="shared" si="7"/>
        <v>25(水)</v>
      </c>
      <c r="P55" s="29"/>
    </row>
    <row r="56" spans="1:16" ht="18.75">
      <c r="A56" s="3">
        <f t="shared" si="8"/>
      </c>
      <c r="B56" s="3">
        <f>IF('予定入力'!B4="","",'予定入力'!B4)</f>
      </c>
      <c r="C56" s="4"/>
      <c r="D56" s="5"/>
      <c r="E56" s="5"/>
      <c r="F56" s="5"/>
      <c r="G56" s="5"/>
      <c r="H56" s="38" t="e">
        <f>VLOOKUP($B56,'取引リスト'!$A:$C,COLUMN('取引リスト'!B58),FALSE)</f>
        <v>#N/A</v>
      </c>
      <c r="I56" s="38" t="e">
        <f>VLOOKUP($B56,'取引リスト'!$A:$C,COLUMN('取引リスト'!C58),FALSE)</f>
        <v>#N/A</v>
      </c>
      <c r="J56" s="39">
        <f>_xlfn.IFERROR(INDEX('予定入力'!$B$1:$J$20,MATCH($B56,'予定入力'!$B$1:$B$20,0),MATCH($L56,'予定入力'!$B$1:$J$1,0)),0)</f>
        <v>0</v>
      </c>
      <c r="K56" s="40">
        <v>2018</v>
      </c>
      <c r="L56" s="41">
        <f t="shared" si="9"/>
        <v>4</v>
      </c>
      <c r="M56" s="42">
        <f>_xlfn.IFERROR(INDEX('予定入力'!$B$1:$J$20,MATCH($B56,'予定入力'!$B$1:$B$20,0),MATCH($M$1,'予定入力'!$B$1:$J$1,0)),0)</f>
        <v>0</v>
      </c>
      <c r="N56" s="43">
        <f t="shared" si="6"/>
      </c>
      <c r="O56" s="44" t="e">
        <f t="shared" si="7"/>
        <v>#VALUE!</v>
      </c>
      <c r="P56" s="29"/>
    </row>
    <row r="57" spans="1:16" ht="18.75">
      <c r="A57" s="3">
        <f t="shared" si="8"/>
        <v>43220</v>
      </c>
      <c r="B57" s="3" t="str">
        <f>IF('予定入力'!B5="","",'予定入力'!B5)</f>
        <v>六角物産</v>
      </c>
      <c r="C57" s="4"/>
      <c r="D57" s="5"/>
      <c r="E57" s="5"/>
      <c r="F57" s="5"/>
      <c r="G57" s="5"/>
      <c r="H57" s="38" t="str">
        <f>VLOOKUP($B57,'取引リスト'!$A:$C,COLUMN('取引リスト'!B59),FALSE)</f>
        <v>仕入</v>
      </c>
      <c r="I57" s="38" t="str">
        <f>VLOOKUP($B57,'取引リスト'!$A:$C,COLUMN('取引リスト'!C59),FALSE)</f>
        <v>A.経常収支</v>
      </c>
      <c r="J57" s="39">
        <f>_xlfn.IFERROR(INDEX('予定入力'!$B$1:$J$20,MATCH($B57,'予定入力'!$B$1:$B$20,0),MATCH($L57,'予定入力'!$B$1:$J$1,0)),0)</f>
        <v>-2400</v>
      </c>
      <c r="K57" s="40">
        <v>2018</v>
      </c>
      <c r="L57" s="41">
        <f t="shared" si="9"/>
        <v>4</v>
      </c>
      <c r="M57" s="42" t="str">
        <f>_xlfn.IFERROR(INDEX('予定入力'!$B$1:$J$20,MATCH($B57,'予定入力'!$B$1:$B$20,0),MATCH($M$1,'予定入力'!$B$1:$J$1,0)),0)</f>
        <v>末</v>
      </c>
      <c r="N57" s="43" t="str">
        <f t="shared" si="6"/>
        <v>2.支出</v>
      </c>
      <c r="O57" s="44" t="str">
        <f t="shared" si="7"/>
        <v>30(月)</v>
      </c>
      <c r="P57" s="29"/>
    </row>
    <row r="58" spans="1:16" ht="18.75">
      <c r="A58" s="3">
        <f t="shared" si="8"/>
        <v>43205</v>
      </c>
      <c r="B58" s="3" t="str">
        <f>IF('予定入力'!B6="","",'予定入力'!B6)</f>
        <v>姉小路商事</v>
      </c>
      <c r="C58" s="4"/>
      <c r="D58" s="5"/>
      <c r="E58" s="5"/>
      <c r="F58" s="5"/>
      <c r="G58" s="5"/>
      <c r="H58" s="38" t="str">
        <f>VLOOKUP($B58,'取引リスト'!$A:$C,COLUMN('取引リスト'!B60),FALSE)</f>
        <v>仕入</v>
      </c>
      <c r="I58" s="38" t="str">
        <f>VLOOKUP($B58,'取引リスト'!$A:$C,COLUMN('取引リスト'!C60),FALSE)</f>
        <v>A.経常収支</v>
      </c>
      <c r="J58" s="39">
        <f>_xlfn.IFERROR(INDEX('予定入力'!$B$1:$J$20,MATCH($B58,'予定入力'!$B$1:$B$20,0),MATCH($L58,'予定入力'!$B$1:$J$1,0)),0)</f>
        <v>0</v>
      </c>
      <c r="K58" s="40">
        <v>2018</v>
      </c>
      <c r="L58" s="41">
        <f t="shared" si="9"/>
        <v>4</v>
      </c>
      <c r="M58" s="42">
        <f>_xlfn.IFERROR(INDEX('予定入力'!$B$1:$J$20,MATCH($B58,'予定入力'!$B$1:$B$20,0),MATCH($M$1,'予定入力'!$B$1:$J$1,0)),0)</f>
        <v>15</v>
      </c>
      <c r="N58" s="43">
        <f t="shared" si="6"/>
      </c>
      <c r="O58" s="44" t="str">
        <f t="shared" si="7"/>
        <v>15(日)</v>
      </c>
      <c r="P58" s="29"/>
    </row>
    <row r="59" spans="1:16" ht="18.75">
      <c r="A59" s="3">
        <f t="shared" si="8"/>
      </c>
      <c r="B59" s="3">
        <f>IF('予定入力'!B7="","",'予定入力'!B7)</f>
      </c>
      <c r="C59" s="4"/>
      <c r="D59" s="5"/>
      <c r="E59" s="5"/>
      <c r="F59" s="5"/>
      <c r="G59" s="5"/>
      <c r="H59" s="38" t="e">
        <f>VLOOKUP($B59,'取引リスト'!$A:$C,COLUMN('取引リスト'!B61),FALSE)</f>
        <v>#N/A</v>
      </c>
      <c r="I59" s="38" t="e">
        <f>VLOOKUP($B59,'取引リスト'!$A:$C,COLUMN('取引リスト'!C61),FALSE)</f>
        <v>#N/A</v>
      </c>
      <c r="J59" s="39">
        <f>_xlfn.IFERROR(INDEX('予定入力'!$B$1:$J$20,MATCH($B59,'予定入力'!$B$1:$B$20,0),MATCH($L59,'予定入力'!$B$1:$J$1,0)),0)</f>
        <v>0</v>
      </c>
      <c r="K59" s="40">
        <v>2018</v>
      </c>
      <c r="L59" s="41">
        <f t="shared" si="9"/>
        <v>4</v>
      </c>
      <c r="M59" s="42">
        <f>_xlfn.IFERROR(INDEX('予定入力'!$B$1:$J$20,MATCH($B59,'予定入力'!$B$1:$B$20,0),MATCH($M$1,'予定入力'!$B$1:$J$1,0)),0)</f>
        <v>0</v>
      </c>
      <c r="N59" s="43">
        <f t="shared" si="6"/>
      </c>
      <c r="O59" s="44" t="e">
        <f t="shared" si="7"/>
        <v>#VALUE!</v>
      </c>
      <c r="P59" s="29"/>
    </row>
    <row r="60" spans="1:16" ht="18.75">
      <c r="A60" s="3">
        <f t="shared" si="8"/>
        <v>43220</v>
      </c>
      <c r="B60" s="3" t="str">
        <f>IF('予定入力'!B8="","",'予定入力'!B8)</f>
        <v>西洞院不動産</v>
      </c>
      <c r="C60" s="4"/>
      <c r="D60" s="5"/>
      <c r="E60" s="5"/>
      <c r="F60" s="5"/>
      <c r="G60" s="5"/>
      <c r="H60" s="38" t="str">
        <f>VLOOKUP($B60,'取引リスト'!$A:$C,COLUMN('取引リスト'!B62),FALSE)</f>
        <v>地代家賃</v>
      </c>
      <c r="I60" s="38" t="str">
        <f>VLOOKUP($B60,'取引リスト'!$A:$C,COLUMN('取引リスト'!C62),FALSE)</f>
        <v>A.経常収支</v>
      </c>
      <c r="J60" s="39">
        <f>_xlfn.IFERROR(INDEX('予定入力'!$B$1:$J$20,MATCH($B60,'予定入力'!$B$1:$B$20,0),MATCH($L60,'予定入力'!$B$1:$J$1,0)),0)</f>
        <v>-250</v>
      </c>
      <c r="K60" s="40">
        <v>2018</v>
      </c>
      <c r="L60" s="41">
        <f t="shared" si="9"/>
        <v>4</v>
      </c>
      <c r="M60" s="42" t="str">
        <f>_xlfn.IFERROR(INDEX('予定入力'!$B$1:$J$20,MATCH($B60,'予定入力'!$B$1:$B$20,0),MATCH($M$1,'予定入力'!$B$1:$J$1,0)),0)</f>
        <v>末</v>
      </c>
      <c r="N60" s="43" t="str">
        <f t="shared" si="6"/>
        <v>2.支出</v>
      </c>
      <c r="O60" s="44" t="str">
        <f t="shared" si="7"/>
        <v>30(月)</v>
      </c>
      <c r="P60" s="29"/>
    </row>
    <row r="61" spans="1:16" ht="18.75">
      <c r="A61" s="3">
        <f t="shared" si="8"/>
        <v>43210</v>
      </c>
      <c r="B61" s="3" t="str">
        <f>IF('予定入力'!B9="","",'予定入力'!B9)</f>
        <v>従業員</v>
      </c>
      <c r="C61" s="4"/>
      <c r="D61" s="5"/>
      <c r="E61" s="5"/>
      <c r="F61" s="5"/>
      <c r="G61" s="5"/>
      <c r="H61" s="38" t="str">
        <f>VLOOKUP($B61,'取引リスト'!$A:$C,COLUMN('取引リスト'!B63),FALSE)</f>
        <v>人件費</v>
      </c>
      <c r="I61" s="38" t="str">
        <f>VLOOKUP($B61,'取引リスト'!$A:$C,COLUMN('取引リスト'!C63),FALSE)</f>
        <v>A.経常収支</v>
      </c>
      <c r="J61" s="39">
        <f>_xlfn.IFERROR(INDEX('予定入力'!$B$1:$J$20,MATCH($B61,'予定入力'!$B$1:$B$20,0),MATCH($L61,'予定入力'!$B$1:$J$1,0)),0)</f>
        <v>-600</v>
      </c>
      <c r="K61" s="40">
        <v>2018</v>
      </c>
      <c r="L61" s="41">
        <f t="shared" si="9"/>
        <v>4</v>
      </c>
      <c r="M61" s="42">
        <f>_xlfn.IFERROR(INDEX('予定入力'!$B$1:$J$20,MATCH($B61,'予定入力'!$B$1:$B$20,0),MATCH($M$1,'予定入力'!$B$1:$J$1,0)),0)</f>
        <v>20</v>
      </c>
      <c r="N61" s="43" t="str">
        <f t="shared" si="6"/>
        <v>2.支出</v>
      </c>
      <c r="O61" s="44" t="str">
        <f t="shared" si="7"/>
        <v>20(金)</v>
      </c>
      <c r="P61" s="29"/>
    </row>
    <row r="62" spans="1:16" ht="18.75">
      <c r="A62" s="3">
        <f t="shared" si="8"/>
        <v>43220</v>
      </c>
      <c r="B62" s="3" t="str">
        <f>IF('予定入力'!B10="","",'予定入力'!B10)</f>
        <v>役員報酬</v>
      </c>
      <c r="C62" s="4"/>
      <c r="D62" s="5"/>
      <c r="E62" s="5"/>
      <c r="F62" s="5"/>
      <c r="G62" s="5"/>
      <c r="H62" s="38" t="str">
        <f>VLOOKUP($B62,'取引リスト'!$A:$C,COLUMN('取引リスト'!B64),FALSE)</f>
        <v>人件費</v>
      </c>
      <c r="I62" s="38" t="str">
        <f>VLOOKUP($B62,'取引リスト'!$A:$C,COLUMN('取引リスト'!C64),FALSE)</f>
        <v>A.経常収支</v>
      </c>
      <c r="J62" s="39">
        <f>_xlfn.IFERROR(INDEX('予定入力'!$B$1:$J$20,MATCH($B62,'予定入力'!$B$1:$B$20,0),MATCH($L62,'予定入力'!$B$1:$J$1,0)),0)</f>
        <v>-500</v>
      </c>
      <c r="K62" s="40">
        <v>2018</v>
      </c>
      <c r="L62" s="41">
        <f t="shared" si="9"/>
        <v>4</v>
      </c>
      <c r="M62" s="42" t="str">
        <f>_xlfn.IFERROR(INDEX('予定入力'!$B$1:$J$20,MATCH($B62,'予定入力'!$B$1:$B$20,0),MATCH($M$1,'予定入力'!$B$1:$J$1,0)),0)</f>
        <v>末</v>
      </c>
      <c r="N62" s="43" t="str">
        <f t="shared" si="6"/>
        <v>2.支出</v>
      </c>
      <c r="O62" s="44" t="str">
        <f t="shared" si="7"/>
        <v>30(月)</v>
      </c>
      <c r="P62" s="29"/>
    </row>
    <row r="63" spans="1:16" ht="18.75">
      <c r="A63" s="3">
        <f t="shared" si="8"/>
      </c>
      <c r="B63" s="3">
        <f>IF('予定入力'!B11="","",'予定入力'!B11)</f>
      </c>
      <c r="C63" s="4"/>
      <c r="D63" s="5"/>
      <c r="E63" s="5"/>
      <c r="F63" s="5"/>
      <c r="G63" s="5"/>
      <c r="H63" s="38" t="e">
        <f>VLOOKUP($B63,'取引リスト'!$A:$C,COLUMN('取引リスト'!B65),FALSE)</f>
        <v>#N/A</v>
      </c>
      <c r="I63" s="38" t="e">
        <f>VLOOKUP($B63,'取引リスト'!$A:$C,COLUMN('取引リスト'!C65),FALSE)</f>
        <v>#N/A</v>
      </c>
      <c r="J63" s="39">
        <f>_xlfn.IFERROR(INDEX('予定入力'!$B$1:$J$20,MATCH($B63,'予定入力'!$B$1:$B$20,0),MATCH($L63,'予定入力'!$B$1:$J$1,0)),0)</f>
        <v>0</v>
      </c>
      <c r="K63" s="40">
        <v>2018</v>
      </c>
      <c r="L63" s="41">
        <f t="shared" si="9"/>
        <v>4</v>
      </c>
      <c r="M63" s="42">
        <f>_xlfn.IFERROR(INDEX('予定入力'!$B$1:$J$20,MATCH($B63,'予定入力'!$B$1:$B$20,0),MATCH($M$1,'予定入力'!$B$1:$J$1,0)),0)</f>
        <v>0</v>
      </c>
      <c r="N63" s="43">
        <f t="shared" si="6"/>
      </c>
      <c r="O63" s="44" t="e">
        <f t="shared" si="7"/>
        <v>#VALUE!</v>
      </c>
      <c r="P63" s="29"/>
    </row>
    <row r="64" spans="1:16" ht="18.75">
      <c r="A64" s="3">
        <f t="shared" si="8"/>
      </c>
      <c r="B64" s="3" t="str">
        <f>IF('予定入力'!B12="","",'予定入力'!B12)</f>
        <v>役員借入</v>
      </c>
      <c r="C64" s="4"/>
      <c r="D64" s="5"/>
      <c r="E64" s="5"/>
      <c r="F64" s="5"/>
      <c r="G64" s="5"/>
      <c r="H64" s="38" t="str">
        <f>VLOOKUP($B64,'取引リスト'!$A:$C,COLUMN('取引リスト'!B66),FALSE)</f>
        <v>役員借入</v>
      </c>
      <c r="I64" s="38" t="str">
        <f>VLOOKUP($B64,'取引リスト'!$A:$C,COLUMN('取引リスト'!C66),FALSE)</f>
        <v>C.財務収支</v>
      </c>
      <c r="J64" s="39">
        <f>_xlfn.IFERROR(INDEX('予定入力'!$B$1:$J$20,MATCH($B64,'予定入力'!$B$1:$B$20,0),MATCH($L64,'予定入力'!$B$1:$J$1,0)),0)</f>
        <v>0</v>
      </c>
      <c r="K64" s="40">
        <v>2018</v>
      </c>
      <c r="L64" s="41">
        <f t="shared" si="9"/>
        <v>4</v>
      </c>
      <c r="M64" s="42">
        <f>_xlfn.IFERROR(INDEX('予定入力'!$B$1:$J$20,MATCH($B64,'予定入力'!$B$1:$B$20,0),MATCH($M$1,'予定入力'!$B$1:$J$1,0)),0)</f>
        <v>0</v>
      </c>
      <c r="N64" s="43">
        <f t="shared" si="6"/>
      </c>
      <c r="O64" s="44" t="e">
        <f t="shared" si="7"/>
        <v>#VALUE!</v>
      </c>
      <c r="P64" s="29"/>
    </row>
    <row r="65" spans="1:16" ht="18.75">
      <c r="A65" s="3">
        <f t="shared" si="8"/>
        <v>43191</v>
      </c>
      <c r="B65" s="3" t="str">
        <f>IF('予定入力'!B13="","",'予定入力'!B13)</f>
        <v>役員返済</v>
      </c>
      <c r="C65" s="4"/>
      <c r="D65" s="5"/>
      <c r="E65" s="5"/>
      <c r="F65" s="5"/>
      <c r="G65" s="5"/>
      <c r="H65" s="38" t="str">
        <f>VLOOKUP($B65,'取引リスト'!$A:$C,COLUMN('取引リスト'!B67),FALSE)</f>
        <v>役員返済</v>
      </c>
      <c r="I65" s="38" t="str">
        <f>VLOOKUP($B65,'取引リスト'!$A:$C,COLUMN('取引リスト'!C67),FALSE)</f>
        <v>C.財務収支</v>
      </c>
      <c r="J65" s="39">
        <f>_xlfn.IFERROR(INDEX('予定入力'!$B$1:$J$20,MATCH($B65,'予定入力'!$B$1:$B$20,0),MATCH($L65,'予定入力'!$B$1:$J$1,0)),0)</f>
        <v>0</v>
      </c>
      <c r="K65" s="40">
        <v>2018</v>
      </c>
      <c r="L65" s="41">
        <f t="shared" si="9"/>
        <v>4</v>
      </c>
      <c r="M65" s="42">
        <f>_xlfn.IFERROR(INDEX('予定入力'!$B$1:$J$20,MATCH($B65,'予定入力'!$B$1:$B$20,0),MATCH($M$1,'予定入力'!$B$1:$J$1,0)),0)</f>
        <v>1</v>
      </c>
      <c r="N65" s="43">
        <f t="shared" si="6"/>
      </c>
      <c r="O65" s="44" t="str">
        <f t="shared" si="7"/>
        <v>01(日)</v>
      </c>
      <c r="P65" s="29"/>
    </row>
    <row r="66" spans="1:16" ht="18.75">
      <c r="A66" s="3">
        <f t="shared" si="8"/>
        <v>43195</v>
      </c>
      <c r="B66" s="3" t="str">
        <f>IF('予定入力'!B14="","",'予定入力'!B14)</f>
        <v>堀川銀行借入</v>
      </c>
      <c r="C66" s="4"/>
      <c r="D66" s="5"/>
      <c r="E66" s="5"/>
      <c r="F66" s="5"/>
      <c r="G66" s="5"/>
      <c r="H66" s="38" t="str">
        <f>VLOOKUP($B66,'取引リスト'!$A:$C,COLUMN('取引リスト'!B68),FALSE)</f>
        <v>銀行借入</v>
      </c>
      <c r="I66" s="38" t="str">
        <f>VLOOKUP($B66,'取引リスト'!$A:$C,COLUMN('取引リスト'!C68),FALSE)</f>
        <v>C.財務収支</v>
      </c>
      <c r="J66" s="39">
        <f>_xlfn.IFERROR(INDEX('予定入力'!$B$1:$J$20,MATCH($B66,'予定入力'!$B$1:$B$20,0),MATCH($L66,'予定入力'!$B$1:$J$1,0)),0)</f>
        <v>0</v>
      </c>
      <c r="K66" s="40">
        <v>2018</v>
      </c>
      <c r="L66" s="41">
        <f t="shared" si="9"/>
        <v>4</v>
      </c>
      <c r="M66" s="42">
        <f>_xlfn.IFERROR(INDEX('予定入力'!$B$1:$J$20,MATCH($B66,'予定入力'!$B$1:$B$20,0),MATCH($M$1,'予定入力'!$B$1:$J$1,0)),0)</f>
        <v>5</v>
      </c>
      <c r="N66" s="43">
        <f t="shared" si="6"/>
      </c>
      <c r="O66" s="44" t="str">
        <f aca="true" t="shared" si="10" ref="O66:O97">TEXT(DAY(A66),"00")&amp;"("&amp;TEXT(A66,"aaa")&amp;")"</f>
        <v>05(木)</v>
      </c>
      <c r="P66" s="29"/>
    </row>
    <row r="67" spans="1:16" ht="18.75">
      <c r="A67" s="3">
        <f t="shared" si="8"/>
        <v>43200</v>
      </c>
      <c r="B67" s="3" t="str">
        <f>IF('予定入力'!B15="","",'予定入力'!B15)</f>
        <v>堀川銀行利息</v>
      </c>
      <c r="C67" s="4"/>
      <c r="D67" s="5"/>
      <c r="E67" s="5"/>
      <c r="F67" s="5"/>
      <c r="G67" s="5"/>
      <c r="H67" s="38" t="str">
        <f>VLOOKUP($B67,'取引リスト'!$A:$C,COLUMN('取引リスト'!B69),FALSE)</f>
        <v>その他経費</v>
      </c>
      <c r="I67" s="38" t="str">
        <f>VLOOKUP($B67,'取引リスト'!$A:$C,COLUMN('取引リスト'!C69),FALSE)</f>
        <v>A.経常収支</v>
      </c>
      <c r="J67" s="39">
        <f>_xlfn.IFERROR(INDEX('予定入力'!$B$1:$J$20,MATCH($B67,'予定入力'!$B$1:$B$20,0),MATCH($L67,'予定入力'!$B$1:$J$1,0)),0)</f>
        <v>0</v>
      </c>
      <c r="K67" s="40">
        <v>2018</v>
      </c>
      <c r="L67" s="41">
        <f t="shared" si="9"/>
        <v>4</v>
      </c>
      <c r="M67" s="42">
        <f>_xlfn.IFERROR(INDEX('予定入力'!$B$1:$J$20,MATCH($B67,'予定入力'!$B$1:$B$20,0),MATCH($M$1,'予定入力'!$B$1:$J$1,0)),0)</f>
        <v>10</v>
      </c>
      <c r="N67" s="43">
        <f aca="true" t="shared" si="11" ref="N67:N130">IF(J67=0,"",IF(J67&gt;0,"1.収入","2.支出"))</f>
      </c>
      <c r="O67" s="44" t="str">
        <f t="shared" si="10"/>
        <v>10(火)</v>
      </c>
      <c r="P67" s="29"/>
    </row>
    <row r="68" spans="1:16" ht="18.75">
      <c r="A68" s="3">
        <f t="shared" si="8"/>
        <v>43200</v>
      </c>
      <c r="B68" s="3" t="str">
        <f>IF('予定入力'!B16="","",'予定入力'!B16)</f>
        <v>堀川銀行返済</v>
      </c>
      <c r="C68" s="4"/>
      <c r="D68" s="5"/>
      <c r="E68" s="5"/>
      <c r="F68" s="5"/>
      <c r="G68" s="5"/>
      <c r="H68" s="38" t="str">
        <f>VLOOKUP($B68,'取引リスト'!$A:$C,COLUMN('取引リスト'!B70),FALSE)</f>
        <v>銀行返済</v>
      </c>
      <c r="I68" s="38" t="str">
        <f>VLOOKUP($B68,'取引リスト'!$A:$C,COLUMN('取引リスト'!C70),FALSE)</f>
        <v>C.財務収支</v>
      </c>
      <c r="J68" s="39">
        <f>_xlfn.IFERROR(INDEX('予定入力'!$B$1:$J$20,MATCH($B68,'予定入力'!$B$1:$B$20,0),MATCH($L68,'予定入力'!$B$1:$J$1,0)),0)</f>
        <v>0</v>
      </c>
      <c r="K68" s="40">
        <v>2018</v>
      </c>
      <c r="L68" s="41">
        <f t="shared" si="9"/>
        <v>4</v>
      </c>
      <c r="M68" s="42">
        <f>_xlfn.IFERROR(INDEX('予定入力'!$B$1:$J$20,MATCH($B68,'予定入力'!$B$1:$B$20,0),MATCH($M$1,'予定入力'!$B$1:$J$1,0)),0)</f>
        <v>10</v>
      </c>
      <c r="N68" s="43">
        <f t="shared" si="11"/>
      </c>
      <c r="O68" s="44" t="str">
        <f t="shared" si="10"/>
        <v>10(火)</v>
      </c>
      <c r="P68" s="29"/>
    </row>
    <row r="69" spans="1:16" ht="18.75">
      <c r="A69" s="3">
        <f>IF(M69=0,"",IF(M69="末",EDATE(DATE(K69,L69,1),1)-1,DATE(K69,L69,M69)))</f>
      </c>
      <c r="B69" s="3">
        <f>IF('予定入力'!B17="","",'予定入力'!B17)</f>
      </c>
      <c r="C69" s="4"/>
      <c r="D69" s="5"/>
      <c r="E69" s="5"/>
      <c r="F69" s="5"/>
      <c r="G69" s="5"/>
      <c r="H69" s="38" t="e">
        <f>VLOOKUP($B69,'取引リスト'!$A:$C,COLUMN('取引リスト'!B71),FALSE)</f>
        <v>#N/A</v>
      </c>
      <c r="I69" s="38" t="e">
        <f>VLOOKUP($B69,'取引リスト'!$A:$C,COLUMN('取引リスト'!C71),FALSE)</f>
        <v>#N/A</v>
      </c>
      <c r="J69" s="39">
        <f>_xlfn.IFERROR(INDEX('予定入力'!$B$1:$J$20,MATCH($B69,'予定入力'!$B$1:$B$20,0),MATCH($L69,'予定入力'!$B$1:$J$1,0)),0)</f>
        <v>0</v>
      </c>
      <c r="K69" s="40">
        <v>2018</v>
      </c>
      <c r="L69" s="41">
        <f>+L50+1</f>
        <v>4</v>
      </c>
      <c r="M69" s="42">
        <f>_xlfn.IFERROR(INDEX('予定入力'!$B$1:$J$20,MATCH($B69,'予定入力'!$B$1:$B$20,0),MATCH($M$1,'予定入力'!$B$1:$J$1,0)),0)</f>
        <v>0</v>
      </c>
      <c r="N69" s="43">
        <f t="shared" si="11"/>
      </c>
      <c r="O69" s="44" t="e">
        <f t="shared" si="10"/>
        <v>#VALUE!</v>
      </c>
      <c r="P69" s="29"/>
    </row>
    <row r="70" spans="1:16" ht="18.75">
      <c r="A70" s="3">
        <f>IF(M70=0,"",IF(M70="末",EDATE(DATE(K70,L70,1),1)-1,DATE(K70,L70,M70)))</f>
        <v>43195</v>
      </c>
      <c r="B70" s="3" t="str">
        <f>IF('予定入力'!B18="","",'予定入力'!B18)</f>
        <v>四条工務店</v>
      </c>
      <c r="C70" s="4"/>
      <c r="D70" s="5"/>
      <c r="E70" s="5"/>
      <c r="F70" s="5"/>
      <c r="G70" s="5"/>
      <c r="H70" s="38" t="str">
        <f>VLOOKUP($B70,'取引リスト'!$A:$C,COLUMN('取引リスト'!B72),FALSE)</f>
        <v>固定資産</v>
      </c>
      <c r="I70" s="38" t="str">
        <f>VLOOKUP($B70,'取引リスト'!$A:$C,COLUMN('取引リスト'!C72),FALSE)</f>
        <v>B.非経常収支</v>
      </c>
      <c r="J70" s="39">
        <f>_xlfn.IFERROR(INDEX('予定入力'!$B$1:$J$20,MATCH($B70,'予定入力'!$B$1:$B$20,0),MATCH($L70,'予定入力'!$B$1:$J$1,0)),0)</f>
        <v>0</v>
      </c>
      <c r="K70" s="40">
        <v>2018</v>
      </c>
      <c r="L70" s="41">
        <f>+L51+1</f>
        <v>4</v>
      </c>
      <c r="M70" s="42">
        <f>_xlfn.IFERROR(INDEX('予定入力'!$B$1:$J$20,MATCH($B70,'予定入力'!$B$1:$B$20,0),MATCH($M$1,'予定入力'!$B$1:$J$1,0)),0)</f>
        <v>5</v>
      </c>
      <c r="N70" s="43">
        <f t="shared" si="11"/>
      </c>
      <c r="O70" s="44" t="str">
        <f t="shared" si="10"/>
        <v>05(木)</v>
      </c>
      <c r="P70" s="29"/>
    </row>
    <row r="71" spans="1:16" ht="18.75">
      <c r="A71" s="3">
        <f>IF(M71=0,"",IF(M71="末",EDATE(DATE(K71,L71,1),1)-1,DATE(K71,L71,M71)))</f>
      </c>
      <c r="B71" s="3">
        <f>IF('予定入力'!B19="","",'予定入力'!B19)</f>
      </c>
      <c r="C71" s="4"/>
      <c r="D71" s="5"/>
      <c r="E71" s="5"/>
      <c r="F71" s="5"/>
      <c r="G71" s="5"/>
      <c r="H71" s="38" t="e">
        <f>VLOOKUP($B71,'取引リスト'!$A:$C,COLUMN('取引リスト'!B73),FALSE)</f>
        <v>#N/A</v>
      </c>
      <c r="I71" s="38" t="e">
        <f>VLOOKUP($B71,'取引リスト'!$A:$C,COLUMN('取引リスト'!C73),FALSE)</f>
        <v>#N/A</v>
      </c>
      <c r="J71" s="39">
        <f>_xlfn.IFERROR(INDEX('予定入力'!$B$1:$J$20,MATCH($B71,'予定入力'!$B$1:$B$20,0),MATCH($L71,'予定入力'!$B$1:$J$1,0)),0)</f>
        <v>0</v>
      </c>
      <c r="K71" s="40">
        <v>2018</v>
      </c>
      <c r="L71" s="41">
        <f>+L52+1</f>
        <v>4</v>
      </c>
      <c r="M71" s="42">
        <f>_xlfn.IFERROR(INDEX('予定入力'!$B$1:$J$20,MATCH($B71,'予定入力'!$B$1:$B$20,0),MATCH($M$1,'予定入力'!$B$1:$J$1,0)),0)</f>
        <v>0</v>
      </c>
      <c r="N71" s="43">
        <f t="shared" si="11"/>
      </c>
      <c r="O71" s="44" t="e">
        <f t="shared" si="10"/>
        <v>#VALUE!</v>
      </c>
      <c r="P71" s="29"/>
    </row>
    <row r="72" spans="1:16" ht="18.75">
      <c r="A72" s="3">
        <f>IF(M72=0,"",IF(M72="末",EDATE(DATE(K72,L72,1),1)-1,DATE(K72,L72,M72)))</f>
      </c>
      <c r="B72" s="3">
        <f>IF('予定入力'!B20="","",'予定入力'!B20)</f>
      </c>
      <c r="C72" s="4"/>
      <c r="D72" s="5"/>
      <c r="E72" s="5"/>
      <c r="F72" s="5"/>
      <c r="G72" s="5"/>
      <c r="H72" s="38" t="e">
        <f>VLOOKUP($B72,'取引リスト'!$A:$C,COLUMN('取引リスト'!B74),FALSE)</f>
        <v>#N/A</v>
      </c>
      <c r="I72" s="38" t="e">
        <f>VLOOKUP($B72,'取引リスト'!$A:$C,COLUMN('取引リスト'!C74),FALSE)</f>
        <v>#N/A</v>
      </c>
      <c r="J72" s="39">
        <f>_xlfn.IFERROR(INDEX('予定入力'!$B$1:$J$20,MATCH($B72,'予定入力'!$B$1:$B$20,0),MATCH($L72,'予定入力'!$B$1:$J$1,0)),0)</f>
        <v>0</v>
      </c>
      <c r="K72" s="40">
        <v>2018</v>
      </c>
      <c r="L72" s="41">
        <f>+L53+1</f>
        <v>4</v>
      </c>
      <c r="M72" s="42">
        <f>_xlfn.IFERROR(INDEX('予定入力'!$B$1:$J$20,MATCH($B72,'予定入力'!$B$1:$B$20,0),MATCH($M$1,'予定入力'!$B$1:$J$1,0)),0)</f>
        <v>0</v>
      </c>
      <c r="N72" s="43">
        <f t="shared" si="11"/>
      </c>
      <c r="O72" s="44" t="e">
        <f t="shared" si="10"/>
        <v>#VALUE!</v>
      </c>
      <c r="P72" s="29"/>
    </row>
    <row r="73" spans="1:16" ht="18.75">
      <c r="A73" s="3">
        <f t="shared" si="8"/>
        <v>43225</v>
      </c>
      <c r="B73" s="18" t="str">
        <f>IF('予定入力'!B2="","",'予定入力'!B2)</f>
        <v>丸太町商店</v>
      </c>
      <c r="C73" s="18"/>
      <c r="D73" s="18"/>
      <c r="E73" s="18"/>
      <c r="F73" s="18"/>
      <c r="G73" s="5"/>
      <c r="H73" s="38" t="str">
        <f>VLOOKUP($B73,'取引リスト'!$A:$C,COLUMN('取引リスト'!B75),FALSE)</f>
        <v>売上(手形)</v>
      </c>
      <c r="I73" s="38" t="str">
        <f>VLOOKUP($B73,'取引リスト'!$A:$C,COLUMN('取引リスト'!C75),FALSE)</f>
        <v>A.経常収支</v>
      </c>
      <c r="J73" s="39">
        <f>_xlfn.IFERROR(INDEX('予定入力'!$B$1:$J$20,MATCH($B73,'予定入力'!$B$1:$B$20,0),MATCH($L73,'予定入力'!$B$1:$J$1,0)),0)</f>
        <v>3600</v>
      </c>
      <c r="K73" s="40">
        <v>2018</v>
      </c>
      <c r="L73" s="41">
        <f aca="true" t="shared" si="12" ref="L73:L87">+L54+1</f>
        <v>5</v>
      </c>
      <c r="M73" s="42">
        <f>_xlfn.IFERROR(INDEX('予定入力'!$B$1:$J$20,MATCH($B73,'予定入力'!$B$1:$B$20,0),MATCH($M$1,'予定入力'!$B$1:$J$1,0)),0)</f>
        <v>5</v>
      </c>
      <c r="N73" s="43" t="str">
        <f t="shared" si="11"/>
        <v>1.収入</v>
      </c>
      <c r="O73" s="44" t="str">
        <f t="shared" si="10"/>
        <v>05(土)</v>
      </c>
      <c r="P73" s="29"/>
    </row>
    <row r="74" spans="1:16" ht="18.75">
      <c r="A74" s="3">
        <f t="shared" si="8"/>
        <v>43245</v>
      </c>
      <c r="B74" s="18" t="str">
        <f>IF('予定入力'!B3="","",'予定入力'!B3)</f>
        <v>現金売上</v>
      </c>
      <c r="C74" s="18"/>
      <c r="D74" s="18"/>
      <c r="E74" s="18"/>
      <c r="F74" s="18"/>
      <c r="G74" s="5"/>
      <c r="H74" s="38" t="str">
        <f>VLOOKUP($B74,'取引リスト'!$A:$C,COLUMN('取引リスト'!B76),FALSE)</f>
        <v>売上(現金)</v>
      </c>
      <c r="I74" s="38" t="str">
        <f>VLOOKUP($B74,'取引リスト'!$A:$C,COLUMN('取引リスト'!C76),FALSE)</f>
        <v>A.経常収支</v>
      </c>
      <c r="J74" s="39">
        <f>_xlfn.IFERROR(INDEX('予定入力'!$B$1:$J$20,MATCH($B74,'予定入力'!$B$1:$B$20,0),MATCH($L74,'予定入力'!$B$1:$J$1,0)),0)</f>
        <v>0</v>
      </c>
      <c r="K74" s="40">
        <v>2018</v>
      </c>
      <c r="L74" s="41">
        <f t="shared" si="12"/>
        <v>5</v>
      </c>
      <c r="M74" s="42">
        <f>_xlfn.IFERROR(INDEX('予定入力'!$B$1:$J$20,MATCH($B74,'予定入力'!$B$1:$B$20,0),MATCH($M$1,'予定入力'!$B$1:$J$1,0)),0)</f>
        <v>25</v>
      </c>
      <c r="N74" s="43">
        <f t="shared" si="11"/>
      </c>
      <c r="O74" s="44" t="str">
        <f t="shared" si="10"/>
        <v>25(金)</v>
      </c>
      <c r="P74" s="29"/>
    </row>
    <row r="75" spans="1:16" ht="18.75">
      <c r="A75" s="3">
        <f t="shared" si="8"/>
      </c>
      <c r="B75" s="18">
        <f>IF('予定入力'!B4="","",'予定入力'!B4)</f>
      </c>
      <c r="C75" s="18"/>
      <c r="D75" s="18"/>
      <c r="E75" s="18"/>
      <c r="F75" s="18"/>
      <c r="G75" s="5"/>
      <c r="H75" s="38" t="e">
        <f>VLOOKUP($B75,'取引リスト'!$A:$C,COLUMN('取引リスト'!B77),FALSE)</f>
        <v>#N/A</v>
      </c>
      <c r="I75" s="38" t="e">
        <f>VLOOKUP($B75,'取引リスト'!$A:$C,COLUMN('取引リスト'!C77),FALSE)</f>
        <v>#N/A</v>
      </c>
      <c r="J75" s="39">
        <f>_xlfn.IFERROR(INDEX('予定入力'!$B$1:$J$20,MATCH($B75,'予定入力'!$B$1:$B$20,0),MATCH($L75,'予定入力'!$B$1:$J$1,0)),0)</f>
        <v>0</v>
      </c>
      <c r="K75" s="40">
        <v>2018</v>
      </c>
      <c r="L75" s="41">
        <f t="shared" si="12"/>
        <v>5</v>
      </c>
      <c r="M75" s="42">
        <f>_xlfn.IFERROR(INDEX('予定入力'!$B$1:$J$20,MATCH($B75,'予定入力'!$B$1:$B$20,0),MATCH($M$1,'予定入力'!$B$1:$J$1,0)),0)</f>
        <v>0</v>
      </c>
      <c r="N75" s="43">
        <f t="shared" si="11"/>
      </c>
      <c r="O75" s="44" t="e">
        <f t="shared" si="10"/>
        <v>#VALUE!</v>
      </c>
      <c r="P75" s="29"/>
    </row>
    <row r="76" spans="1:16" ht="18.75">
      <c r="A76" s="3">
        <f t="shared" si="8"/>
        <v>43251</v>
      </c>
      <c r="B76" s="18" t="str">
        <f>IF('予定入力'!B5="","",'予定入力'!B5)</f>
        <v>六角物産</v>
      </c>
      <c r="C76" s="18"/>
      <c r="D76" s="18"/>
      <c r="E76" s="18"/>
      <c r="F76" s="18"/>
      <c r="G76" s="5"/>
      <c r="H76" s="38" t="str">
        <f>VLOOKUP($B76,'取引リスト'!$A:$C,COLUMN('取引リスト'!B78),FALSE)</f>
        <v>仕入</v>
      </c>
      <c r="I76" s="38" t="str">
        <f>VLOOKUP($B76,'取引リスト'!$A:$C,COLUMN('取引リスト'!C78),FALSE)</f>
        <v>A.経常収支</v>
      </c>
      <c r="J76" s="39">
        <f>_xlfn.IFERROR(INDEX('予定入力'!$B$1:$J$20,MATCH($B76,'予定入力'!$B$1:$B$20,0),MATCH($L76,'予定入力'!$B$1:$J$1,0)),0)</f>
        <v>-2400</v>
      </c>
      <c r="K76" s="40">
        <v>2018</v>
      </c>
      <c r="L76" s="41">
        <f t="shared" si="12"/>
        <v>5</v>
      </c>
      <c r="M76" s="42" t="str">
        <f>_xlfn.IFERROR(INDEX('予定入力'!$B$1:$J$20,MATCH($B76,'予定入力'!$B$1:$B$20,0),MATCH($M$1,'予定入力'!$B$1:$J$1,0)),0)</f>
        <v>末</v>
      </c>
      <c r="N76" s="43" t="str">
        <f t="shared" si="11"/>
        <v>2.支出</v>
      </c>
      <c r="O76" s="44" t="str">
        <f t="shared" si="10"/>
        <v>31(木)</v>
      </c>
      <c r="P76" s="29"/>
    </row>
    <row r="77" spans="1:16" ht="18.75">
      <c r="A77" s="3">
        <f t="shared" si="8"/>
        <v>43235</v>
      </c>
      <c r="B77" s="18" t="str">
        <f>IF('予定入力'!B6="","",'予定入力'!B6)</f>
        <v>姉小路商事</v>
      </c>
      <c r="C77" s="18"/>
      <c r="D77" s="18"/>
      <c r="E77" s="18"/>
      <c r="F77" s="18"/>
      <c r="G77" s="5"/>
      <c r="H77" s="38" t="str">
        <f>VLOOKUP($B77,'取引リスト'!$A:$C,COLUMN('取引リスト'!B79),FALSE)</f>
        <v>仕入</v>
      </c>
      <c r="I77" s="38" t="str">
        <f>VLOOKUP($B77,'取引リスト'!$A:$C,COLUMN('取引リスト'!C79),FALSE)</f>
        <v>A.経常収支</v>
      </c>
      <c r="J77" s="39">
        <f>_xlfn.IFERROR(INDEX('予定入力'!$B$1:$J$20,MATCH($B77,'予定入力'!$B$1:$B$20,0),MATCH($L77,'予定入力'!$B$1:$J$1,0)),0)</f>
        <v>-3000</v>
      </c>
      <c r="K77" s="40">
        <v>2018</v>
      </c>
      <c r="L77" s="41">
        <f t="shared" si="12"/>
        <v>5</v>
      </c>
      <c r="M77" s="42">
        <f>_xlfn.IFERROR(INDEX('予定入力'!$B$1:$J$20,MATCH($B77,'予定入力'!$B$1:$B$20,0),MATCH($M$1,'予定入力'!$B$1:$J$1,0)),0)</f>
        <v>15</v>
      </c>
      <c r="N77" s="43" t="str">
        <f t="shared" si="11"/>
        <v>2.支出</v>
      </c>
      <c r="O77" s="44" t="str">
        <f t="shared" si="10"/>
        <v>15(火)</v>
      </c>
      <c r="P77" s="29"/>
    </row>
    <row r="78" spans="1:16" ht="18.75">
      <c r="A78" s="3">
        <f t="shared" si="8"/>
      </c>
      <c r="B78" s="18">
        <f>IF('予定入力'!B7="","",'予定入力'!B7)</f>
      </c>
      <c r="C78" s="18"/>
      <c r="D78" s="18"/>
      <c r="E78" s="18"/>
      <c r="F78" s="18"/>
      <c r="G78" s="5"/>
      <c r="H78" s="38" t="e">
        <f>VLOOKUP($B78,'取引リスト'!$A:$C,COLUMN('取引リスト'!B80),FALSE)</f>
        <v>#N/A</v>
      </c>
      <c r="I78" s="38" t="e">
        <f>VLOOKUP($B78,'取引リスト'!$A:$C,COLUMN('取引リスト'!C80),FALSE)</f>
        <v>#N/A</v>
      </c>
      <c r="J78" s="39">
        <f>_xlfn.IFERROR(INDEX('予定入力'!$B$1:$J$20,MATCH($B78,'予定入力'!$B$1:$B$20,0),MATCH($L78,'予定入力'!$B$1:$J$1,0)),0)</f>
        <v>0</v>
      </c>
      <c r="K78" s="40">
        <v>2018</v>
      </c>
      <c r="L78" s="41">
        <f t="shared" si="12"/>
        <v>5</v>
      </c>
      <c r="M78" s="42">
        <f>_xlfn.IFERROR(INDEX('予定入力'!$B$1:$J$20,MATCH($B78,'予定入力'!$B$1:$B$20,0),MATCH($M$1,'予定入力'!$B$1:$J$1,0)),0)</f>
        <v>0</v>
      </c>
      <c r="N78" s="43">
        <f t="shared" si="11"/>
      </c>
      <c r="O78" s="44" t="e">
        <f t="shared" si="10"/>
        <v>#VALUE!</v>
      </c>
      <c r="P78" s="29"/>
    </row>
    <row r="79" spans="1:16" ht="18.75">
      <c r="A79" s="3">
        <f t="shared" si="8"/>
        <v>43251</v>
      </c>
      <c r="B79" s="18" t="str">
        <f>IF('予定入力'!B8="","",'予定入力'!B8)</f>
        <v>西洞院不動産</v>
      </c>
      <c r="C79" s="18"/>
      <c r="D79" s="18"/>
      <c r="E79" s="18"/>
      <c r="F79" s="18"/>
      <c r="G79" s="5"/>
      <c r="H79" s="38" t="str">
        <f>VLOOKUP($B79,'取引リスト'!$A:$C,COLUMN('取引リスト'!B81),FALSE)</f>
        <v>地代家賃</v>
      </c>
      <c r="I79" s="38" t="str">
        <f>VLOOKUP($B79,'取引リスト'!$A:$C,COLUMN('取引リスト'!C81),FALSE)</f>
        <v>A.経常収支</v>
      </c>
      <c r="J79" s="39">
        <f>_xlfn.IFERROR(INDEX('予定入力'!$B$1:$J$20,MATCH($B79,'予定入力'!$B$1:$B$20,0),MATCH($L79,'予定入力'!$B$1:$J$1,0)),0)</f>
        <v>-250</v>
      </c>
      <c r="K79" s="40">
        <v>2018</v>
      </c>
      <c r="L79" s="41">
        <f t="shared" si="12"/>
        <v>5</v>
      </c>
      <c r="M79" s="42" t="str">
        <f>_xlfn.IFERROR(INDEX('予定入力'!$B$1:$J$20,MATCH($B79,'予定入力'!$B$1:$B$20,0),MATCH($M$1,'予定入力'!$B$1:$J$1,0)),0)</f>
        <v>末</v>
      </c>
      <c r="N79" s="43" t="str">
        <f t="shared" si="11"/>
        <v>2.支出</v>
      </c>
      <c r="O79" s="44" t="str">
        <f t="shared" si="10"/>
        <v>31(木)</v>
      </c>
      <c r="P79" s="29"/>
    </row>
    <row r="80" spans="1:16" ht="18.75">
      <c r="A80" s="3">
        <f t="shared" si="8"/>
        <v>43240</v>
      </c>
      <c r="B80" s="18" t="str">
        <f>IF('予定入力'!B9="","",'予定入力'!B9)</f>
        <v>従業員</v>
      </c>
      <c r="C80" s="18"/>
      <c r="D80" s="18"/>
      <c r="E80" s="18"/>
      <c r="F80" s="18"/>
      <c r="G80" s="5"/>
      <c r="H80" s="38" t="str">
        <f>VLOOKUP($B80,'取引リスト'!$A:$C,COLUMN('取引リスト'!B82),FALSE)</f>
        <v>人件費</v>
      </c>
      <c r="I80" s="38" t="str">
        <f>VLOOKUP($B80,'取引リスト'!$A:$C,COLUMN('取引リスト'!C82),FALSE)</f>
        <v>A.経常収支</v>
      </c>
      <c r="J80" s="39">
        <f>_xlfn.IFERROR(INDEX('予定入力'!$B$1:$J$20,MATCH($B80,'予定入力'!$B$1:$B$20,0),MATCH($L80,'予定入力'!$B$1:$J$1,0)),0)</f>
        <v>-900</v>
      </c>
      <c r="K80" s="40">
        <v>2018</v>
      </c>
      <c r="L80" s="41">
        <f t="shared" si="12"/>
        <v>5</v>
      </c>
      <c r="M80" s="42">
        <f>_xlfn.IFERROR(INDEX('予定入力'!$B$1:$J$20,MATCH($B80,'予定入力'!$B$1:$B$20,0),MATCH($M$1,'予定入力'!$B$1:$J$1,0)),0)</f>
        <v>20</v>
      </c>
      <c r="N80" s="43" t="str">
        <f t="shared" si="11"/>
        <v>2.支出</v>
      </c>
      <c r="O80" s="44" t="str">
        <f t="shared" si="10"/>
        <v>20(日)</v>
      </c>
      <c r="P80" s="29"/>
    </row>
    <row r="81" spans="1:16" ht="18.75">
      <c r="A81" s="3">
        <f t="shared" si="8"/>
        <v>43251</v>
      </c>
      <c r="B81" s="18" t="str">
        <f>IF('予定入力'!B10="","",'予定入力'!B10)</f>
        <v>役員報酬</v>
      </c>
      <c r="C81" s="18"/>
      <c r="D81" s="18"/>
      <c r="E81" s="18"/>
      <c r="F81" s="18"/>
      <c r="G81" s="5"/>
      <c r="H81" s="38" t="str">
        <f>VLOOKUP($B81,'取引リスト'!$A:$C,COLUMN('取引リスト'!B83),FALSE)</f>
        <v>人件費</v>
      </c>
      <c r="I81" s="38" t="str">
        <f>VLOOKUP($B81,'取引リスト'!$A:$C,COLUMN('取引リスト'!C83),FALSE)</f>
        <v>A.経常収支</v>
      </c>
      <c r="J81" s="39">
        <f>_xlfn.IFERROR(INDEX('予定入力'!$B$1:$J$20,MATCH($B81,'予定入力'!$B$1:$B$20,0),MATCH($L81,'予定入力'!$B$1:$J$1,0)),0)</f>
        <v>-500</v>
      </c>
      <c r="K81" s="40">
        <v>2018</v>
      </c>
      <c r="L81" s="41">
        <f t="shared" si="12"/>
        <v>5</v>
      </c>
      <c r="M81" s="42" t="str">
        <f>_xlfn.IFERROR(INDEX('予定入力'!$B$1:$J$20,MATCH($B81,'予定入力'!$B$1:$B$20,0),MATCH($M$1,'予定入力'!$B$1:$J$1,0)),0)</f>
        <v>末</v>
      </c>
      <c r="N81" s="43" t="str">
        <f t="shared" si="11"/>
        <v>2.支出</v>
      </c>
      <c r="O81" s="44" t="str">
        <f t="shared" si="10"/>
        <v>31(木)</v>
      </c>
      <c r="P81" s="29"/>
    </row>
    <row r="82" spans="1:16" ht="18.75">
      <c r="A82" s="3">
        <f t="shared" si="8"/>
      </c>
      <c r="B82" s="18">
        <f>IF('予定入力'!B11="","",'予定入力'!B11)</f>
      </c>
      <c r="C82" s="18"/>
      <c r="D82" s="18"/>
      <c r="E82" s="18"/>
      <c r="F82" s="18"/>
      <c r="G82" s="5"/>
      <c r="H82" s="38" t="e">
        <f>VLOOKUP($B82,'取引リスト'!$A:$C,COLUMN('取引リスト'!B84),FALSE)</f>
        <v>#N/A</v>
      </c>
      <c r="I82" s="38" t="e">
        <f>VLOOKUP($B82,'取引リスト'!$A:$C,COLUMN('取引リスト'!C84),FALSE)</f>
        <v>#N/A</v>
      </c>
      <c r="J82" s="39">
        <f>_xlfn.IFERROR(INDEX('予定入力'!$B$1:$J$20,MATCH($B82,'予定入力'!$B$1:$B$20,0),MATCH($L82,'予定入力'!$B$1:$J$1,0)),0)</f>
        <v>0</v>
      </c>
      <c r="K82" s="40">
        <v>2018</v>
      </c>
      <c r="L82" s="41">
        <f t="shared" si="12"/>
        <v>5</v>
      </c>
      <c r="M82" s="42">
        <f>_xlfn.IFERROR(INDEX('予定入力'!$B$1:$J$20,MATCH($B82,'予定入力'!$B$1:$B$20,0),MATCH($M$1,'予定入力'!$B$1:$J$1,0)),0)</f>
        <v>0</v>
      </c>
      <c r="N82" s="43">
        <f t="shared" si="11"/>
      </c>
      <c r="O82" s="44" t="e">
        <f t="shared" si="10"/>
        <v>#VALUE!</v>
      </c>
      <c r="P82" s="29"/>
    </row>
    <row r="83" spans="1:16" ht="18.75">
      <c r="A83" s="3">
        <f t="shared" si="8"/>
      </c>
      <c r="B83" s="18" t="str">
        <f>IF('予定入力'!B12="","",'予定入力'!B12)</f>
        <v>役員借入</v>
      </c>
      <c r="C83" s="18"/>
      <c r="D83" s="18"/>
      <c r="E83" s="18"/>
      <c r="F83" s="18"/>
      <c r="G83" s="5"/>
      <c r="H83" s="38" t="str">
        <f>VLOOKUP($B83,'取引リスト'!$A:$C,COLUMN('取引リスト'!B85),FALSE)</f>
        <v>役員借入</v>
      </c>
      <c r="I83" s="38" t="str">
        <f>VLOOKUP($B83,'取引リスト'!$A:$C,COLUMN('取引リスト'!C85),FALSE)</f>
        <v>C.財務収支</v>
      </c>
      <c r="J83" s="39">
        <f>_xlfn.IFERROR(INDEX('予定入力'!$B$1:$J$20,MATCH($B83,'予定入力'!$B$1:$B$20,0),MATCH($L83,'予定入力'!$B$1:$J$1,0)),0)</f>
        <v>0</v>
      </c>
      <c r="K83" s="40">
        <v>2018</v>
      </c>
      <c r="L83" s="41">
        <f t="shared" si="12"/>
        <v>5</v>
      </c>
      <c r="M83" s="42">
        <f>_xlfn.IFERROR(INDEX('予定入力'!$B$1:$J$20,MATCH($B83,'予定入力'!$B$1:$B$20,0),MATCH($M$1,'予定入力'!$B$1:$J$1,0)),0)</f>
        <v>0</v>
      </c>
      <c r="N83" s="43">
        <f t="shared" si="11"/>
      </c>
      <c r="O83" s="44" t="e">
        <f t="shared" si="10"/>
        <v>#VALUE!</v>
      </c>
      <c r="P83" s="29"/>
    </row>
    <row r="84" spans="1:16" ht="18.75">
      <c r="A84" s="3">
        <f t="shared" si="8"/>
        <v>43221</v>
      </c>
      <c r="B84" s="18" t="str">
        <f>IF('予定入力'!B13="","",'予定入力'!B13)</f>
        <v>役員返済</v>
      </c>
      <c r="C84" s="18"/>
      <c r="D84" s="18"/>
      <c r="E84" s="18"/>
      <c r="F84" s="18"/>
      <c r="G84" s="5"/>
      <c r="H84" s="38" t="str">
        <f>VLOOKUP($B84,'取引リスト'!$A:$C,COLUMN('取引リスト'!B86),FALSE)</f>
        <v>役員返済</v>
      </c>
      <c r="I84" s="38" t="str">
        <f>VLOOKUP($B84,'取引リスト'!$A:$C,COLUMN('取引リスト'!C86),FALSE)</f>
        <v>C.財務収支</v>
      </c>
      <c r="J84" s="39">
        <f>_xlfn.IFERROR(INDEX('予定入力'!$B$1:$J$20,MATCH($B84,'予定入力'!$B$1:$B$20,0),MATCH($L84,'予定入力'!$B$1:$J$1,0)),0)</f>
        <v>0</v>
      </c>
      <c r="K84" s="40">
        <v>2018</v>
      </c>
      <c r="L84" s="41">
        <f t="shared" si="12"/>
        <v>5</v>
      </c>
      <c r="M84" s="42">
        <f>_xlfn.IFERROR(INDEX('予定入力'!$B$1:$J$20,MATCH($B84,'予定入力'!$B$1:$B$20,0),MATCH($M$1,'予定入力'!$B$1:$J$1,0)),0)</f>
        <v>1</v>
      </c>
      <c r="N84" s="43">
        <f t="shared" si="11"/>
      </c>
      <c r="O84" s="44" t="str">
        <f t="shared" si="10"/>
        <v>01(火)</v>
      </c>
      <c r="P84" s="29"/>
    </row>
    <row r="85" spans="1:16" ht="18.75">
      <c r="A85" s="3">
        <f t="shared" si="8"/>
        <v>43225</v>
      </c>
      <c r="B85" s="18" t="str">
        <f>IF('予定入力'!B14="","",'予定入力'!B14)</f>
        <v>堀川銀行借入</v>
      </c>
      <c r="C85" s="18"/>
      <c r="D85" s="18"/>
      <c r="E85" s="18"/>
      <c r="F85" s="18"/>
      <c r="G85" s="5"/>
      <c r="H85" s="38" t="str">
        <f>VLOOKUP($B85,'取引リスト'!$A:$C,COLUMN('取引リスト'!B87),FALSE)</f>
        <v>銀行借入</v>
      </c>
      <c r="I85" s="38" t="str">
        <f>VLOOKUP($B85,'取引リスト'!$A:$C,COLUMN('取引リスト'!C87),FALSE)</f>
        <v>C.財務収支</v>
      </c>
      <c r="J85" s="39">
        <f>_xlfn.IFERROR(INDEX('予定入力'!$B$1:$J$20,MATCH($B85,'予定入力'!$B$1:$B$20,0),MATCH($L85,'予定入力'!$B$1:$J$1,0)),0)</f>
        <v>0</v>
      </c>
      <c r="K85" s="40">
        <v>2018</v>
      </c>
      <c r="L85" s="41">
        <f t="shared" si="12"/>
        <v>5</v>
      </c>
      <c r="M85" s="42">
        <f>_xlfn.IFERROR(INDEX('予定入力'!$B$1:$J$20,MATCH($B85,'予定入力'!$B$1:$B$20,0),MATCH($M$1,'予定入力'!$B$1:$J$1,0)),0)</f>
        <v>5</v>
      </c>
      <c r="N85" s="43">
        <f t="shared" si="11"/>
      </c>
      <c r="O85" s="44" t="str">
        <f t="shared" si="10"/>
        <v>05(土)</v>
      </c>
      <c r="P85" s="29"/>
    </row>
    <row r="86" spans="1:16" ht="18.75">
      <c r="A86" s="3">
        <f t="shared" si="8"/>
        <v>43230</v>
      </c>
      <c r="B86" s="18" t="str">
        <f>IF('予定入力'!B15="","",'予定入力'!B15)</f>
        <v>堀川銀行利息</v>
      </c>
      <c r="C86" s="18"/>
      <c r="D86" s="18"/>
      <c r="E86" s="18"/>
      <c r="F86" s="18"/>
      <c r="G86" s="5"/>
      <c r="H86" s="38" t="str">
        <f>VLOOKUP($B86,'取引リスト'!$A:$C,COLUMN('取引リスト'!B88),FALSE)</f>
        <v>その他経費</v>
      </c>
      <c r="I86" s="38" t="str">
        <f>VLOOKUP($B86,'取引リスト'!$A:$C,COLUMN('取引リスト'!C88),FALSE)</f>
        <v>A.経常収支</v>
      </c>
      <c r="J86" s="39">
        <f>_xlfn.IFERROR(INDEX('予定入力'!$B$1:$J$20,MATCH($B86,'予定入力'!$B$1:$B$20,0),MATCH($L86,'予定入力'!$B$1:$J$1,0)),0)</f>
        <v>0</v>
      </c>
      <c r="K86" s="40">
        <v>2018</v>
      </c>
      <c r="L86" s="41">
        <f t="shared" si="12"/>
        <v>5</v>
      </c>
      <c r="M86" s="42">
        <f>_xlfn.IFERROR(INDEX('予定入力'!$B$1:$J$20,MATCH($B86,'予定入力'!$B$1:$B$20,0),MATCH($M$1,'予定入力'!$B$1:$J$1,0)),0)</f>
        <v>10</v>
      </c>
      <c r="N86" s="43">
        <f t="shared" si="11"/>
      </c>
      <c r="O86" s="44" t="str">
        <f t="shared" si="10"/>
        <v>10(木)</v>
      </c>
      <c r="P86" s="29"/>
    </row>
    <row r="87" spans="1:16" ht="18.75">
      <c r="A87" s="3">
        <f t="shared" si="8"/>
        <v>43230</v>
      </c>
      <c r="B87" s="18" t="str">
        <f>IF('予定入力'!B16="","",'予定入力'!B16)</f>
        <v>堀川銀行返済</v>
      </c>
      <c r="C87" s="18"/>
      <c r="D87" s="18"/>
      <c r="E87" s="18"/>
      <c r="F87" s="18"/>
      <c r="G87" s="5"/>
      <c r="H87" s="38" t="str">
        <f>VLOOKUP($B87,'取引リスト'!$A:$C,COLUMN('取引リスト'!B89),FALSE)</f>
        <v>銀行返済</v>
      </c>
      <c r="I87" s="38" t="str">
        <f>VLOOKUP($B87,'取引リスト'!$A:$C,COLUMN('取引リスト'!C89),FALSE)</f>
        <v>C.財務収支</v>
      </c>
      <c r="J87" s="39">
        <f>_xlfn.IFERROR(INDEX('予定入力'!$B$1:$J$20,MATCH($B87,'予定入力'!$B$1:$B$20,0),MATCH($L87,'予定入力'!$B$1:$J$1,0)),0)</f>
        <v>0</v>
      </c>
      <c r="K87" s="40">
        <v>2018</v>
      </c>
      <c r="L87" s="41">
        <f t="shared" si="12"/>
        <v>5</v>
      </c>
      <c r="M87" s="42">
        <f>_xlfn.IFERROR(INDEX('予定入力'!$B$1:$J$20,MATCH($B87,'予定入力'!$B$1:$B$20,0),MATCH($M$1,'予定入力'!$B$1:$J$1,0)),0)</f>
        <v>10</v>
      </c>
      <c r="N87" s="43">
        <f t="shared" si="11"/>
      </c>
      <c r="O87" s="44" t="str">
        <f t="shared" si="10"/>
        <v>10(木)</v>
      </c>
      <c r="P87" s="29"/>
    </row>
    <row r="88" spans="1:16" ht="18.75">
      <c r="A88" s="3">
        <f>IF(M88=0,"",IF(M88="末",EDATE(DATE(K88,L88,1),1)-1,DATE(K88,L88,M88)))</f>
      </c>
      <c r="B88" s="18">
        <f>IF('予定入力'!B17="","",'予定入力'!B17)</f>
      </c>
      <c r="C88" s="18"/>
      <c r="D88" s="18"/>
      <c r="E88" s="18"/>
      <c r="F88" s="18"/>
      <c r="G88" s="5"/>
      <c r="H88" s="38" t="e">
        <f>VLOOKUP($B88,'取引リスト'!$A:$C,COLUMN('取引リスト'!B90),FALSE)</f>
        <v>#N/A</v>
      </c>
      <c r="I88" s="38" t="e">
        <f>VLOOKUP($B88,'取引リスト'!$A:$C,COLUMN('取引リスト'!C90),FALSE)</f>
        <v>#N/A</v>
      </c>
      <c r="J88" s="39">
        <f>_xlfn.IFERROR(INDEX('予定入力'!$B$1:$J$20,MATCH($B88,'予定入力'!$B$1:$B$20,0),MATCH($L88,'予定入力'!$B$1:$J$1,0)),0)</f>
        <v>0</v>
      </c>
      <c r="K88" s="40">
        <v>2018</v>
      </c>
      <c r="L88" s="41">
        <f>+L69+1</f>
        <v>5</v>
      </c>
      <c r="M88" s="42">
        <f>_xlfn.IFERROR(INDEX('予定入力'!$B$1:$J$20,MATCH($B88,'予定入力'!$B$1:$B$20,0),MATCH($M$1,'予定入力'!$B$1:$J$1,0)),0)</f>
        <v>0</v>
      </c>
      <c r="N88" s="43">
        <f t="shared" si="11"/>
      </c>
      <c r="O88" s="44" t="e">
        <f t="shared" si="10"/>
        <v>#VALUE!</v>
      </c>
      <c r="P88" s="29"/>
    </row>
    <row r="89" spans="1:16" ht="18.75">
      <c r="A89" s="3">
        <f>IF(M89=0,"",IF(M89="末",EDATE(DATE(K89,L89,1),1)-1,DATE(K89,L89,M89)))</f>
        <v>43225</v>
      </c>
      <c r="B89" s="18" t="str">
        <f>IF('予定入力'!B18="","",'予定入力'!B18)</f>
        <v>四条工務店</v>
      </c>
      <c r="C89" s="18"/>
      <c r="D89" s="18"/>
      <c r="E89" s="18"/>
      <c r="F89" s="18"/>
      <c r="G89" s="5"/>
      <c r="H89" s="38" t="str">
        <f>VLOOKUP($B89,'取引リスト'!$A:$C,COLUMN('取引リスト'!B91),FALSE)</f>
        <v>固定資産</v>
      </c>
      <c r="I89" s="38" t="str">
        <f>VLOOKUP($B89,'取引リスト'!$A:$C,COLUMN('取引リスト'!C91),FALSE)</f>
        <v>B.非経常収支</v>
      </c>
      <c r="J89" s="39">
        <f>_xlfn.IFERROR(INDEX('予定入力'!$B$1:$J$20,MATCH($B89,'予定入力'!$B$1:$B$20,0),MATCH($L89,'予定入力'!$B$1:$J$1,0)),0)</f>
        <v>-5000</v>
      </c>
      <c r="K89" s="40">
        <v>2018</v>
      </c>
      <c r="L89" s="41">
        <f>+L70+1</f>
        <v>5</v>
      </c>
      <c r="M89" s="42">
        <f>_xlfn.IFERROR(INDEX('予定入力'!$B$1:$J$20,MATCH($B89,'予定入力'!$B$1:$B$20,0),MATCH($M$1,'予定入力'!$B$1:$J$1,0)),0)</f>
        <v>5</v>
      </c>
      <c r="N89" s="43" t="str">
        <f t="shared" si="11"/>
        <v>2.支出</v>
      </c>
      <c r="O89" s="44" t="str">
        <f t="shared" si="10"/>
        <v>05(土)</v>
      </c>
      <c r="P89" s="29"/>
    </row>
    <row r="90" spans="1:16" ht="18.75">
      <c r="A90" s="3">
        <f>IF(M90=0,"",IF(M90="末",EDATE(DATE(K90,L90,1),1)-1,DATE(K90,L90,M90)))</f>
      </c>
      <c r="B90" s="18">
        <f>IF('予定入力'!B19="","",'予定入力'!B19)</f>
      </c>
      <c r="C90" s="18"/>
      <c r="D90" s="18"/>
      <c r="E90" s="18"/>
      <c r="F90" s="18"/>
      <c r="G90" s="5"/>
      <c r="H90" s="38" t="e">
        <f>VLOOKUP($B90,'取引リスト'!$A:$C,COLUMN('取引リスト'!B92),FALSE)</f>
        <v>#N/A</v>
      </c>
      <c r="I90" s="38" t="e">
        <f>VLOOKUP($B90,'取引リスト'!$A:$C,COLUMN('取引リスト'!C92),FALSE)</f>
        <v>#N/A</v>
      </c>
      <c r="J90" s="39">
        <f>_xlfn.IFERROR(INDEX('予定入力'!$B$1:$J$20,MATCH($B90,'予定入力'!$B$1:$B$20,0),MATCH($L90,'予定入力'!$B$1:$J$1,0)),0)</f>
        <v>0</v>
      </c>
      <c r="K90" s="40">
        <v>2018</v>
      </c>
      <c r="L90" s="41">
        <f>+L71+1</f>
        <v>5</v>
      </c>
      <c r="M90" s="42">
        <f>_xlfn.IFERROR(INDEX('予定入力'!$B$1:$J$20,MATCH($B90,'予定入力'!$B$1:$B$20,0),MATCH($M$1,'予定入力'!$B$1:$J$1,0)),0)</f>
        <v>0</v>
      </c>
      <c r="N90" s="43">
        <f t="shared" si="11"/>
      </c>
      <c r="O90" s="44" t="e">
        <f t="shared" si="10"/>
        <v>#VALUE!</v>
      </c>
      <c r="P90" s="29"/>
    </row>
    <row r="91" spans="1:16" ht="18.75">
      <c r="A91" s="3">
        <f>IF(M91=0,"",IF(M91="末",EDATE(DATE(K91,L91,1),1)-1,DATE(K91,L91,M91)))</f>
      </c>
      <c r="B91" s="18">
        <f>IF('予定入力'!B20="","",'予定入力'!B20)</f>
      </c>
      <c r="C91" s="18"/>
      <c r="D91" s="18"/>
      <c r="E91" s="18"/>
      <c r="F91" s="18"/>
      <c r="G91" s="5"/>
      <c r="H91" s="38" t="e">
        <f>VLOOKUP($B91,'取引リスト'!$A:$C,COLUMN('取引リスト'!B93),FALSE)</f>
        <v>#N/A</v>
      </c>
      <c r="I91" s="38" t="e">
        <f>VLOOKUP($B91,'取引リスト'!$A:$C,COLUMN('取引リスト'!C93),FALSE)</f>
        <v>#N/A</v>
      </c>
      <c r="J91" s="39">
        <f>_xlfn.IFERROR(INDEX('予定入力'!$B$1:$J$20,MATCH($B91,'予定入力'!$B$1:$B$20,0),MATCH($L91,'予定入力'!$B$1:$J$1,0)),0)</f>
        <v>0</v>
      </c>
      <c r="K91" s="40">
        <v>2018</v>
      </c>
      <c r="L91" s="41">
        <f>+L72+1</f>
        <v>5</v>
      </c>
      <c r="M91" s="42">
        <f>_xlfn.IFERROR(INDEX('予定入力'!$B$1:$J$20,MATCH($B91,'予定入力'!$B$1:$B$20,0),MATCH($M$1,'予定入力'!$B$1:$J$1,0)),0)</f>
        <v>0</v>
      </c>
      <c r="N91" s="43">
        <f t="shared" si="11"/>
      </c>
      <c r="O91" s="44" t="e">
        <f t="shared" si="10"/>
        <v>#VALUE!</v>
      </c>
      <c r="P91" s="29"/>
    </row>
    <row r="92" spans="1:16" ht="18.75">
      <c r="A92" s="3">
        <f t="shared" si="8"/>
        <v>43256</v>
      </c>
      <c r="B92" s="18" t="str">
        <f>IF('予定入力'!B2="","",'予定入力'!B2)</f>
        <v>丸太町商店</v>
      </c>
      <c r="C92" s="18"/>
      <c r="D92" s="18"/>
      <c r="E92" s="18"/>
      <c r="F92" s="18"/>
      <c r="G92" s="5"/>
      <c r="H92" s="38" t="str">
        <f>VLOOKUP($B92,'取引リスト'!$A:$C,COLUMN('取引リスト'!B94),FALSE)</f>
        <v>売上(手形)</v>
      </c>
      <c r="I92" s="38" t="str">
        <f>VLOOKUP($B92,'取引リスト'!$A:$C,COLUMN('取引リスト'!C94),FALSE)</f>
        <v>A.経常収支</v>
      </c>
      <c r="J92" s="39">
        <f>_xlfn.IFERROR(INDEX('予定入力'!$B$1:$J$20,MATCH($B92,'予定入力'!$B$1:$B$20,0),MATCH($L92,'予定入力'!$B$1:$J$1,0)),0)</f>
        <v>3600</v>
      </c>
      <c r="K92" s="40">
        <v>2018</v>
      </c>
      <c r="L92" s="41">
        <f aca="true" t="shared" si="13" ref="L92:L106">+L73+1</f>
        <v>6</v>
      </c>
      <c r="M92" s="42">
        <f>_xlfn.IFERROR(INDEX('予定入力'!$B$1:$J$20,MATCH($B92,'予定入力'!$B$1:$B$20,0),MATCH($M$1,'予定入力'!$B$1:$J$1,0)),0)</f>
        <v>5</v>
      </c>
      <c r="N92" s="43" t="str">
        <f t="shared" si="11"/>
        <v>1.収入</v>
      </c>
      <c r="O92" s="44" t="str">
        <f t="shared" si="10"/>
        <v>05(火)</v>
      </c>
      <c r="P92" s="29"/>
    </row>
    <row r="93" spans="1:16" ht="18.75">
      <c r="A93" s="3">
        <f t="shared" si="8"/>
        <v>43276</v>
      </c>
      <c r="B93" s="18" t="str">
        <f>IF('予定入力'!B3="","",'予定入力'!B3)</f>
        <v>現金売上</v>
      </c>
      <c r="C93" s="18"/>
      <c r="D93" s="18"/>
      <c r="E93" s="18"/>
      <c r="F93" s="18"/>
      <c r="G93" s="5"/>
      <c r="H93" s="38" t="str">
        <f>VLOOKUP($B93,'取引リスト'!$A:$C,COLUMN('取引リスト'!B95),FALSE)</f>
        <v>売上(現金)</v>
      </c>
      <c r="I93" s="38" t="str">
        <f>VLOOKUP($B93,'取引リスト'!$A:$C,COLUMN('取引リスト'!C95),FALSE)</f>
        <v>A.経常収支</v>
      </c>
      <c r="J93" s="39">
        <f>_xlfn.IFERROR(INDEX('予定入力'!$B$1:$J$20,MATCH($B93,'予定入力'!$B$1:$B$20,0),MATCH($L93,'予定入力'!$B$1:$J$1,0)),0)</f>
        <v>5000</v>
      </c>
      <c r="K93" s="40">
        <v>2018</v>
      </c>
      <c r="L93" s="41">
        <f t="shared" si="13"/>
        <v>6</v>
      </c>
      <c r="M93" s="42">
        <f>_xlfn.IFERROR(INDEX('予定入力'!$B$1:$J$20,MATCH($B93,'予定入力'!$B$1:$B$20,0),MATCH($M$1,'予定入力'!$B$1:$J$1,0)),0)</f>
        <v>25</v>
      </c>
      <c r="N93" s="43" t="str">
        <f t="shared" si="11"/>
        <v>1.収入</v>
      </c>
      <c r="O93" s="44" t="str">
        <f t="shared" si="10"/>
        <v>25(月)</v>
      </c>
      <c r="P93" s="29"/>
    </row>
    <row r="94" spans="1:16" ht="18.75">
      <c r="A94" s="3">
        <f t="shared" si="8"/>
      </c>
      <c r="B94" s="18">
        <f>IF('予定入力'!B4="","",'予定入力'!B4)</f>
      </c>
      <c r="C94" s="18"/>
      <c r="D94" s="18"/>
      <c r="E94" s="18"/>
      <c r="F94" s="18"/>
      <c r="G94" s="5"/>
      <c r="H94" s="38" t="e">
        <f>VLOOKUP($B94,'取引リスト'!$A:$C,COLUMN('取引リスト'!B96),FALSE)</f>
        <v>#N/A</v>
      </c>
      <c r="I94" s="38" t="e">
        <f>VLOOKUP($B94,'取引リスト'!$A:$C,COLUMN('取引リスト'!C96),FALSE)</f>
        <v>#N/A</v>
      </c>
      <c r="J94" s="39">
        <f>_xlfn.IFERROR(INDEX('予定入力'!$B$1:$J$20,MATCH($B94,'予定入力'!$B$1:$B$20,0),MATCH($L94,'予定入力'!$B$1:$J$1,0)),0)</f>
        <v>0</v>
      </c>
      <c r="K94" s="40">
        <v>2018</v>
      </c>
      <c r="L94" s="41">
        <f t="shared" si="13"/>
        <v>6</v>
      </c>
      <c r="M94" s="42">
        <f>_xlfn.IFERROR(INDEX('予定入力'!$B$1:$J$20,MATCH($B94,'予定入力'!$B$1:$B$20,0),MATCH($M$1,'予定入力'!$B$1:$J$1,0)),0)</f>
        <v>0</v>
      </c>
      <c r="N94" s="43">
        <f t="shared" si="11"/>
      </c>
      <c r="O94" s="44" t="e">
        <f t="shared" si="10"/>
        <v>#VALUE!</v>
      </c>
      <c r="P94" s="29"/>
    </row>
    <row r="95" spans="1:16" ht="18.75">
      <c r="A95" s="3">
        <f t="shared" si="8"/>
        <v>43281</v>
      </c>
      <c r="B95" s="18" t="str">
        <f>IF('予定入力'!B5="","",'予定入力'!B5)</f>
        <v>六角物産</v>
      </c>
      <c r="C95" s="18"/>
      <c r="D95" s="18"/>
      <c r="E95" s="18"/>
      <c r="F95" s="18"/>
      <c r="G95" s="5"/>
      <c r="H95" s="38" t="str">
        <f>VLOOKUP($B95,'取引リスト'!$A:$C,COLUMN('取引リスト'!B97),FALSE)</f>
        <v>仕入</v>
      </c>
      <c r="I95" s="38" t="str">
        <f>VLOOKUP($B95,'取引リスト'!$A:$C,COLUMN('取引リスト'!C97),FALSE)</f>
        <v>A.経常収支</v>
      </c>
      <c r="J95" s="39">
        <f>_xlfn.IFERROR(INDEX('予定入力'!$B$1:$J$20,MATCH($B95,'予定入力'!$B$1:$B$20,0),MATCH($L95,'予定入力'!$B$1:$J$1,0)),0)</f>
        <v>-2400</v>
      </c>
      <c r="K95" s="40">
        <v>2018</v>
      </c>
      <c r="L95" s="41">
        <f t="shared" si="13"/>
        <v>6</v>
      </c>
      <c r="M95" s="42" t="str">
        <f>_xlfn.IFERROR(INDEX('予定入力'!$B$1:$J$20,MATCH($B95,'予定入力'!$B$1:$B$20,0),MATCH($M$1,'予定入力'!$B$1:$J$1,0)),0)</f>
        <v>末</v>
      </c>
      <c r="N95" s="43" t="str">
        <f t="shared" si="11"/>
        <v>2.支出</v>
      </c>
      <c r="O95" s="44" t="str">
        <f t="shared" si="10"/>
        <v>30(土)</v>
      </c>
      <c r="P95" s="29"/>
    </row>
    <row r="96" spans="1:16" ht="18.75">
      <c r="A96" s="3">
        <f t="shared" si="8"/>
        <v>43266</v>
      </c>
      <c r="B96" s="18" t="str">
        <f>IF('予定入力'!B6="","",'予定入力'!B6)</f>
        <v>姉小路商事</v>
      </c>
      <c r="C96" s="18"/>
      <c r="D96" s="18"/>
      <c r="E96" s="18"/>
      <c r="F96" s="18"/>
      <c r="G96" s="5"/>
      <c r="H96" s="38" t="str">
        <f>VLOOKUP($B96,'取引リスト'!$A:$C,COLUMN('取引リスト'!B98),FALSE)</f>
        <v>仕入</v>
      </c>
      <c r="I96" s="38" t="str">
        <f>VLOOKUP($B96,'取引リスト'!$A:$C,COLUMN('取引リスト'!C98),FALSE)</f>
        <v>A.経常収支</v>
      </c>
      <c r="J96" s="39">
        <f>_xlfn.IFERROR(INDEX('予定入力'!$B$1:$J$20,MATCH($B96,'予定入力'!$B$1:$B$20,0),MATCH($L96,'予定入力'!$B$1:$J$1,0)),0)</f>
        <v>-3500</v>
      </c>
      <c r="K96" s="40">
        <v>2018</v>
      </c>
      <c r="L96" s="41">
        <f t="shared" si="13"/>
        <v>6</v>
      </c>
      <c r="M96" s="42">
        <f>_xlfn.IFERROR(INDEX('予定入力'!$B$1:$J$20,MATCH($B96,'予定入力'!$B$1:$B$20,0),MATCH($M$1,'予定入力'!$B$1:$J$1,0)),0)</f>
        <v>15</v>
      </c>
      <c r="N96" s="43" t="str">
        <f t="shared" si="11"/>
        <v>2.支出</v>
      </c>
      <c r="O96" s="44" t="str">
        <f t="shared" si="10"/>
        <v>15(金)</v>
      </c>
      <c r="P96" s="29"/>
    </row>
    <row r="97" spans="1:16" ht="18.75">
      <c r="A97" s="3">
        <f t="shared" si="8"/>
      </c>
      <c r="B97" s="18">
        <f>IF('予定入力'!B7="","",'予定入力'!B7)</f>
      </c>
      <c r="C97" s="18"/>
      <c r="D97" s="18"/>
      <c r="E97" s="18"/>
      <c r="F97" s="18"/>
      <c r="G97" s="5"/>
      <c r="H97" s="38" t="e">
        <f>VLOOKUP($B97,'取引リスト'!$A:$C,COLUMN('取引リスト'!B99),FALSE)</f>
        <v>#N/A</v>
      </c>
      <c r="I97" s="38" t="e">
        <f>VLOOKUP($B97,'取引リスト'!$A:$C,COLUMN('取引リスト'!C99),FALSE)</f>
        <v>#N/A</v>
      </c>
      <c r="J97" s="39">
        <f>_xlfn.IFERROR(INDEX('予定入力'!$B$1:$J$20,MATCH($B97,'予定入力'!$B$1:$B$20,0),MATCH($L97,'予定入力'!$B$1:$J$1,0)),0)</f>
        <v>0</v>
      </c>
      <c r="K97" s="40">
        <v>2018</v>
      </c>
      <c r="L97" s="41">
        <f t="shared" si="13"/>
        <v>6</v>
      </c>
      <c r="M97" s="42">
        <f>_xlfn.IFERROR(INDEX('予定入力'!$B$1:$J$20,MATCH($B97,'予定入力'!$B$1:$B$20,0),MATCH($M$1,'予定入力'!$B$1:$J$1,0)),0)</f>
        <v>0</v>
      </c>
      <c r="N97" s="43">
        <f t="shared" si="11"/>
      </c>
      <c r="O97" s="44" t="e">
        <f t="shared" si="10"/>
        <v>#VALUE!</v>
      </c>
      <c r="P97" s="29"/>
    </row>
    <row r="98" spans="1:16" ht="18.75">
      <c r="A98" s="3">
        <f t="shared" si="8"/>
        <v>43281</v>
      </c>
      <c r="B98" s="18" t="str">
        <f>IF('予定入力'!B8="","",'予定入力'!B8)</f>
        <v>西洞院不動産</v>
      </c>
      <c r="C98" s="18"/>
      <c r="D98" s="18"/>
      <c r="E98" s="18"/>
      <c r="F98" s="18"/>
      <c r="G98" s="5"/>
      <c r="H98" s="38" t="str">
        <f>VLOOKUP($B98,'取引リスト'!$A:$C,COLUMN('取引リスト'!B100),FALSE)</f>
        <v>地代家賃</v>
      </c>
      <c r="I98" s="38" t="str">
        <f>VLOOKUP($B98,'取引リスト'!$A:$C,COLUMN('取引リスト'!C100),FALSE)</f>
        <v>A.経常収支</v>
      </c>
      <c r="J98" s="39">
        <f>_xlfn.IFERROR(INDEX('予定入力'!$B$1:$J$20,MATCH($B98,'予定入力'!$B$1:$B$20,0),MATCH($L98,'予定入力'!$B$1:$J$1,0)),0)</f>
        <v>-250</v>
      </c>
      <c r="K98" s="40">
        <v>2018</v>
      </c>
      <c r="L98" s="41">
        <f t="shared" si="13"/>
        <v>6</v>
      </c>
      <c r="M98" s="42" t="str">
        <f>_xlfn.IFERROR(INDEX('予定入力'!$B$1:$J$20,MATCH($B98,'予定入力'!$B$1:$B$20,0),MATCH($M$1,'予定入力'!$B$1:$J$1,0)),0)</f>
        <v>末</v>
      </c>
      <c r="N98" s="43" t="str">
        <f t="shared" si="11"/>
        <v>2.支出</v>
      </c>
      <c r="O98" s="44" t="str">
        <f aca="true" t="shared" si="14" ref="O98:O129">TEXT(DAY(A98),"00")&amp;"("&amp;TEXT(A98,"aaa")&amp;")"</f>
        <v>30(土)</v>
      </c>
      <c r="P98" s="29"/>
    </row>
    <row r="99" spans="1:16" ht="18.75">
      <c r="A99" s="3">
        <f t="shared" si="8"/>
        <v>43271</v>
      </c>
      <c r="B99" s="18" t="str">
        <f>IF('予定入力'!B9="","",'予定入力'!B9)</f>
        <v>従業員</v>
      </c>
      <c r="C99" s="18"/>
      <c r="D99" s="18"/>
      <c r="E99" s="18"/>
      <c r="F99" s="18"/>
      <c r="G99" s="5"/>
      <c r="H99" s="38" t="str">
        <f>VLOOKUP($B99,'取引リスト'!$A:$C,COLUMN('取引リスト'!B101),FALSE)</f>
        <v>人件費</v>
      </c>
      <c r="I99" s="38" t="str">
        <f>VLOOKUP($B99,'取引リスト'!$A:$C,COLUMN('取引リスト'!C101),FALSE)</f>
        <v>A.経常収支</v>
      </c>
      <c r="J99" s="39">
        <f>_xlfn.IFERROR(INDEX('予定入力'!$B$1:$J$20,MATCH($B99,'予定入力'!$B$1:$B$20,0),MATCH($L99,'予定入力'!$B$1:$J$1,0)),0)</f>
        <v>-900</v>
      </c>
      <c r="K99" s="40">
        <v>2018</v>
      </c>
      <c r="L99" s="41">
        <f t="shared" si="13"/>
        <v>6</v>
      </c>
      <c r="M99" s="42">
        <f>_xlfn.IFERROR(INDEX('予定入力'!$B$1:$J$20,MATCH($B99,'予定入力'!$B$1:$B$20,0),MATCH($M$1,'予定入力'!$B$1:$J$1,0)),0)</f>
        <v>20</v>
      </c>
      <c r="N99" s="43" t="str">
        <f t="shared" si="11"/>
        <v>2.支出</v>
      </c>
      <c r="O99" s="44" t="str">
        <f t="shared" si="14"/>
        <v>20(水)</v>
      </c>
      <c r="P99" s="29"/>
    </row>
    <row r="100" spans="1:16" ht="18.75">
      <c r="A100" s="3">
        <f t="shared" si="8"/>
        <v>43281</v>
      </c>
      <c r="B100" s="18" t="str">
        <f>IF('予定入力'!B10="","",'予定入力'!B10)</f>
        <v>役員報酬</v>
      </c>
      <c r="C100" s="18"/>
      <c r="D100" s="18"/>
      <c r="E100" s="18"/>
      <c r="F100" s="18"/>
      <c r="G100" s="5"/>
      <c r="H100" s="38" t="str">
        <f>VLOOKUP($B100,'取引リスト'!$A:$C,COLUMN('取引リスト'!B102),FALSE)</f>
        <v>人件費</v>
      </c>
      <c r="I100" s="38" t="str">
        <f>VLOOKUP($B100,'取引リスト'!$A:$C,COLUMN('取引リスト'!C102),FALSE)</f>
        <v>A.経常収支</v>
      </c>
      <c r="J100" s="39">
        <f>_xlfn.IFERROR(INDEX('予定入力'!$B$1:$J$20,MATCH($B100,'予定入力'!$B$1:$B$20,0),MATCH($L100,'予定入力'!$B$1:$J$1,0)),0)</f>
        <v>-500</v>
      </c>
      <c r="K100" s="40">
        <v>2018</v>
      </c>
      <c r="L100" s="41">
        <f t="shared" si="13"/>
        <v>6</v>
      </c>
      <c r="M100" s="42" t="str">
        <f>_xlfn.IFERROR(INDEX('予定入力'!$B$1:$J$20,MATCH($B100,'予定入力'!$B$1:$B$20,0),MATCH($M$1,'予定入力'!$B$1:$J$1,0)),0)</f>
        <v>末</v>
      </c>
      <c r="N100" s="43" t="str">
        <f t="shared" si="11"/>
        <v>2.支出</v>
      </c>
      <c r="O100" s="44" t="str">
        <f t="shared" si="14"/>
        <v>30(土)</v>
      </c>
      <c r="P100" s="29"/>
    </row>
    <row r="101" spans="1:16" ht="18.75">
      <c r="A101" s="3">
        <f t="shared" si="8"/>
      </c>
      <c r="B101" s="18">
        <f>IF('予定入力'!B11="","",'予定入力'!B11)</f>
      </c>
      <c r="C101" s="18"/>
      <c r="D101" s="18"/>
      <c r="E101" s="18"/>
      <c r="F101" s="18"/>
      <c r="G101" s="5"/>
      <c r="H101" s="38" t="e">
        <f>VLOOKUP($B101,'取引リスト'!$A:$C,COLUMN('取引リスト'!B103),FALSE)</f>
        <v>#N/A</v>
      </c>
      <c r="I101" s="38" t="e">
        <f>VLOOKUP($B101,'取引リスト'!$A:$C,COLUMN('取引リスト'!C103),FALSE)</f>
        <v>#N/A</v>
      </c>
      <c r="J101" s="39">
        <f>_xlfn.IFERROR(INDEX('予定入力'!$B$1:$J$20,MATCH($B101,'予定入力'!$B$1:$B$20,0),MATCH($L101,'予定入力'!$B$1:$J$1,0)),0)</f>
        <v>0</v>
      </c>
      <c r="K101" s="40">
        <v>2018</v>
      </c>
      <c r="L101" s="41">
        <f t="shared" si="13"/>
        <v>6</v>
      </c>
      <c r="M101" s="42">
        <f>_xlfn.IFERROR(INDEX('予定入力'!$B$1:$J$20,MATCH($B101,'予定入力'!$B$1:$B$20,0),MATCH($M$1,'予定入力'!$B$1:$J$1,0)),0)</f>
        <v>0</v>
      </c>
      <c r="N101" s="43">
        <f t="shared" si="11"/>
      </c>
      <c r="O101" s="44" t="e">
        <f t="shared" si="14"/>
        <v>#VALUE!</v>
      </c>
      <c r="P101" s="29"/>
    </row>
    <row r="102" spans="1:16" ht="18.75">
      <c r="A102" s="3">
        <f t="shared" si="8"/>
      </c>
      <c r="B102" s="18" t="str">
        <f>IF('予定入力'!B12="","",'予定入力'!B12)</f>
        <v>役員借入</v>
      </c>
      <c r="C102" s="18"/>
      <c r="D102" s="18"/>
      <c r="E102" s="18"/>
      <c r="F102" s="18"/>
      <c r="G102" s="5"/>
      <c r="H102" s="38" t="str">
        <f>VLOOKUP($B102,'取引リスト'!$A:$C,COLUMN('取引リスト'!B104),FALSE)</f>
        <v>役員借入</v>
      </c>
      <c r="I102" s="38" t="str">
        <f>VLOOKUP($B102,'取引リスト'!$A:$C,COLUMN('取引リスト'!C104),FALSE)</f>
        <v>C.財務収支</v>
      </c>
      <c r="J102" s="39">
        <f>_xlfn.IFERROR(INDEX('予定入力'!$B$1:$J$20,MATCH($B102,'予定入力'!$B$1:$B$20,0),MATCH($L102,'予定入力'!$B$1:$J$1,0)),0)</f>
        <v>0</v>
      </c>
      <c r="K102" s="40">
        <v>2018</v>
      </c>
      <c r="L102" s="41">
        <f t="shared" si="13"/>
        <v>6</v>
      </c>
      <c r="M102" s="42">
        <f>_xlfn.IFERROR(INDEX('予定入力'!$B$1:$J$20,MATCH($B102,'予定入力'!$B$1:$B$20,0),MATCH($M$1,'予定入力'!$B$1:$J$1,0)),0)</f>
        <v>0</v>
      </c>
      <c r="N102" s="43">
        <f t="shared" si="11"/>
      </c>
      <c r="O102" s="44" t="e">
        <f t="shared" si="14"/>
        <v>#VALUE!</v>
      </c>
      <c r="P102" s="29"/>
    </row>
    <row r="103" spans="1:16" ht="18.75">
      <c r="A103" s="3">
        <f t="shared" si="8"/>
        <v>43252</v>
      </c>
      <c r="B103" s="18" t="str">
        <f>IF('予定入力'!B13="","",'予定入力'!B13)</f>
        <v>役員返済</v>
      </c>
      <c r="C103" s="18"/>
      <c r="D103" s="18"/>
      <c r="E103" s="18"/>
      <c r="F103" s="18"/>
      <c r="G103" s="5"/>
      <c r="H103" s="38" t="str">
        <f>VLOOKUP($B103,'取引リスト'!$A:$C,COLUMN('取引リスト'!B105),FALSE)</f>
        <v>役員返済</v>
      </c>
      <c r="I103" s="38" t="str">
        <f>VLOOKUP($B103,'取引リスト'!$A:$C,COLUMN('取引リスト'!C105),FALSE)</f>
        <v>C.財務収支</v>
      </c>
      <c r="J103" s="39">
        <f>_xlfn.IFERROR(INDEX('予定入力'!$B$1:$J$20,MATCH($B103,'予定入力'!$B$1:$B$20,0),MATCH($L103,'予定入力'!$B$1:$J$1,0)),0)</f>
        <v>0</v>
      </c>
      <c r="K103" s="40">
        <v>2018</v>
      </c>
      <c r="L103" s="41">
        <f t="shared" si="13"/>
        <v>6</v>
      </c>
      <c r="M103" s="42">
        <f>_xlfn.IFERROR(INDEX('予定入力'!$B$1:$J$20,MATCH($B103,'予定入力'!$B$1:$B$20,0),MATCH($M$1,'予定入力'!$B$1:$J$1,0)),0)</f>
        <v>1</v>
      </c>
      <c r="N103" s="43">
        <f t="shared" si="11"/>
      </c>
      <c r="O103" s="44" t="str">
        <f t="shared" si="14"/>
        <v>01(金)</v>
      </c>
      <c r="P103" s="29"/>
    </row>
    <row r="104" spans="1:16" ht="18.75">
      <c r="A104" s="3">
        <f t="shared" si="8"/>
        <v>43256</v>
      </c>
      <c r="B104" s="18" t="str">
        <f>IF('予定入力'!B14="","",'予定入力'!B14)</f>
        <v>堀川銀行借入</v>
      </c>
      <c r="C104" s="18"/>
      <c r="D104" s="18"/>
      <c r="E104" s="18"/>
      <c r="F104" s="18"/>
      <c r="G104" s="5"/>
      <c r="H104" s="38" t="str">
        <f>VLOOKUP($B104,'取引リスト'!$A:$C,COLUMN('取引リスト'!B106),FALSE)</f>
        <v>銀行借入</v>
      </c>
      <c r="I104" s="38" t="str">
        <f>VLOOKUP($B104,'取引リスト'!$A:$C,COLUMN('取引リスト'!C106),FALSE)</f>
        <v>C.財務収支</v>
      </c>
      <c r="J104" s="39">
        <f>_xlfn.IFERROR(INDEX('予定入力'!$B$1:$J$20,MATCH($B104,'予定入力'!$B$1:$B$20,0),MATCH($L104,'予定入力'!$B$1:$J$1,0)),0)</f>
        <v>0</v>
      </c>
      <c r="K104" s="40">
        <v>2018</v>
      </c>
      <c r="L104" s="41">
        <f t="shared" si="13"/>
        <v>6</v>
      </c>
      <c r="M104" s="42">
        <f>_xlfn.IFERROR(INDEX('予定入力'!$B$1:$J$20,MATCH($B104,'予定入力'!$B$1:$B$20,0),MATCH($M$1,'予定入力'!$B$1:$J$1,0)),0)</f>
        <v>5</v>
      </c>
      <c r="N104" s="43">
        <f t="shared" si="11"/>
      </c>
      <c r="O104" s="44" t="str">
        <f t="shared" si="14"/>
        <v>05(火)</v>
      </c>
      <c r="P104" s="29"/>
    </row>
    <row r="105" spans="1:16" ht="18.75">
      <c r="A105" s="3">
        <f t="shared" si="8"/>
        <v>43261</v>
      </c>
      <c r="B105" s="18" t="str">
        <f>IF('予定入力'!B15="","",'予定入力'!B15)</f>
        <v>堀川銀行利息</v>
      </c>
      <c r="C105" s="18"/>
      <c r="D105" s="18"/>
      <c r="E105" s="18"/>
      <c r="F105" s="18"/>
      <c r="G105" s="5"/>
      <c r="H105" s="38" t="str">
        <f>VLOOKUP($B105,'取引リスト'!$A:$C,COLUMN('取引リスト'!B107),FALSE)</f>
        <v>その他経費</v>
      </c>
      <c r="I105" s="38" t="str">
        <f>VLOOKUP($B105,'取引リスト'!$A:$C,COLUMN('取引リスト'!C107),FALSE)</f>
        <v>A.経常収支</v>
      </c>
      <c r="J105" s="39">
        <f>_xlfn.IFERROR(INDEX('予定入力'!$B$1:$J$20,MATCH($B105,'予定入力'!$B$1:$B$20,0),MATCH($L105,'予定入力'!$B$1:$J$1,0)),0)</f>
        <v>0</v>
      </c>
      <c r="K105" s="40">
        <v>2018</v>
      </c>
      <c r="L105" s="41">
        <f t="shared" si="13"/>
        <v>6</v>
      </c>
      <c r="M105" s="42">
        <f>_xlfn.IFERROR(INDEX('予定入力'!$B$1:$J$20,MATCH($B105,'予定入力'!$B$1:$B$20,0),MATCH($M$1,'予定入力'!$B$1:$J$1,0)),0)</f>
        <v>10</v>
      </c>
      <c r="N105" s="43">
        <f t="shared" si="11"/>
      </c>
      <c r="O105" s="44" t="str">
        <f t="shared" si="14"/>
        <v>10(日)</v>
      </c>
      <c r="P105" s="29"/>
    </row>
    <row r="106" spans="1:16" ht="18.75">
      <c r="A106" s="3">
        <f t="shared" si="8"/>
        <v>43261</v>
      </c>
      <c r="B106" s="18" t="str">
        <f>IF('予定入力'!B16="","",'予定入力'!B16)</f>
        <v>堀川銀行返済</v>
      </c>
      <c r="C106" s="18"/>
      <c r="D106" s="18"/>
      <c r="E106" s="18"/>
      <c r="F106" s="18"/>
      <c r="G106" s="5"/>
      <c r="H106" s="38" t="str">
        <f>VLOOKUP($B106,'取引リスト'!$A:$C,COLUMN('取引リスト'!B108),FALSE)</f>
        <v>銀行返済</v>
      </c>
      <c r="I106" s="38" t="str">
        <f>VLOOKUP($B106,'取引リスト'!$A:$C,COLUMN('取引リスト'!C108),FALSE)</f>
        <v>C.財務収支</v>
      </c>
      <c r="J106" s="39">
        <f>_xlfn.IFERROR(INDEX('予定入力'!$B$1:$J$20,MATCH($B106,'予定入力'!$B$1:$B$20,0),MATCH($L106,'予定入力'!$B$1:$J$1,0)),0)</f>
        <v>0</v>
      </c>
      <c r="K106" s="40">
        <v>2018</v>
      </c>
      <c r="L106" s="41">
        <f t="shared" si="13"/>
        <v>6</v>
      </c>
      <c r="M106" s="42">
        <f>_xlfn.IFERROR(INDEX('予定入力'!$B$1:$J$20,MATCH($B106,'予定入力'!$B$1:$B$20,0),MATCH($M$1,'予定入力'!$B$1:$J$1,0)),0)</f>
        <v>10</v>
      </c>
      <c r="N106" s="43">
        <f t="shared" si="11"/>
      </c>
      <c r="O106" s="44" t="str">
        <f t="shared" si="14"/>
        <v>10(日)</v>
      </c>
      <c r="P106" s="29"/>
    </row>
    <row r="107" spans="1:16" ht="18.75">
      <c r="A107" s="3">
        <f>IF(M107=0,"",IF(M107="末",EDATE(DATE(K107,L107,1),1)-1,DATE(K107,L107,M107)))</f>
      </c>
      <c r="B107" s="18">
        <f>IF('予定入力'!B17="","",'予定入力'!B17)</f>
      </c>
      <c r="C107" s="18"/>
      <c r="D107" s="18"/>
      <c r="E107" s="18"/>
      <c r="F107" s="18"/>
      <c r="G107" s="5"/>
      <c r="H107" s="38" t="e">
        <f>VLOOKUP($B107,'取引リスト'!$A:$C,COLUMN('取引リスト'!B109),FALSE)</f>
        <v>#N/A</v>
      </c>
      <c r="I107" s="38" t="e">
        <f>VLOOKUP($B107,'取引リスト'!$A:$C,COLUMN('取引リスト'!C109),FALSE)</f>
        <v>#N/A</v>
      </c>
      <c r="J107" s="39">
        <f>_xlfn.IFERROR(INDEX('予定入力'!$B$1:$J$20,MATCH($B107,'予定入力'!$B$1:$B$20,0),MATCH($L107,'予定入力'!$B$1:$J$1,0)),0)</f>
        <v>0</v>
      </c>
      <c r="K107" s="40">
        <v>2018</v>
      </c>
      <c r="L107" s="41">
        <f>+L88+1</f>
        <v>6</v>
      </c>
      <c r="M107" s="42">
        <f>_xlfn.IFERROR(INDEX('予定入力'!$B$1:$J$20,MATCH($B107,'予定入力'!$B$1:$B$20,0),MATCH($M$1,'予定入力'!$B$1:$J$1,0)),0)</f>
        <v>0</v>
      </c>
      <c r="N107" s="43">
        <f t="shared" si="11"/>
      </c>
      <c r="O107" s="44" t="e">
        <f t="shared" si="14"/>
        <v>#VALUE!</v>
      </c>
      <c r="P107" s="29"/>
    </row>
    <row r="108" spans="1:16" ht="18.75">
      <c r="A108" s="3">
        <f>IF(M108=0,"",IF(M108="末",EDATE(DATE(K108,L108,1),1)-1,DATE(K108,L108,M108)))</f>
        <v>43256</v>
      </c>
      <c r="B108" s="18" t="str">
        <f>IF('予定入力'!B18="","",'予定入力'!B18)</f>
        <v>四条工務店</v>
      </c>
      <c r="C108" s="18"/>
      <c r="D108" s="18"/>
      <c r="E108" s="18"/>
      <c r="F108" s="18"/>
      <c r="G108" s="5"/>
      <c r="H108" s="38" t="str">
        <f>VLOOKUP($B108,'取引リスト'!$A:$C,COLUMN('取引リスト'!B110),FALSE)</f>
        <v>固定資産</v>
      </c>
      <c r="I108" s="38" t="str">
        <f>VLOOKUP($B108,'取引リスト'!$A:$C,COLUMN('取引リスト'!C110),FALSE)</f>
        <v>B.非経常収支</v>
      </c>
      <c r="J108" s="39">
        <f>_xlfn.IFERROR(INDEX('予定入力'!$B$1:$J$20,MATCH($B108,'予定入力'!$B$1:$B$20,0),MATCH($L108,'予定入力'!$B$1:$J$1,0)),0)</f>
        <v>0</v>
      </c>
      <c r="K108" s="40">
        <v>2018</v>
      </c>
      <c r="L108" s="41">
        <f>+L89+1</f>
        <v>6</v>
      </c>
      <c r="M108" s="42">
        <f>_xlfn.IFERROR(INDEX('予定入力'!$B$1:$J$20,MATCH($B108,'予定入力'!$B$1:$B$20,0),MATCH($M$1,'予定入力'!$B$1:$J$1,0)),0)</f>
        <v>5</v>
      </c>
      <c r="N108" s="43">
        <f t="shared" si="11"/>
      </c>
      <c r="O108" s="44" t="str">
        <f t="shared" si="14"/>
        <v>05(火)</v>
      </c>
      <c r="P108" s="29"/>
    </row>
    <row r="109" spans="1:16" ht="18.75">
      <c r="A109" s="3">
        <f>IF(M109=0,"",IF(M109="末",EDATE(DATE(K109,L109,1),1)-1,DATE(K109,L109,M109)))</f>
      </c>
      <c r="B109" s="18">
        <f>IF('予定入力'!B19="","",'予定入力'!B19)</f>
      </c>
      <c r="C109" s="18"/>
      <c r="D109" s="18"/>
      <c r="E109" s="18"/>
      <c r="F109" s="18"/>
      <c r="G109" s="5"/>
      <c r="H109" s="38" t="e">
        <f>VLOOKUP($B109,'取引リスト'!$A:$C,COLUMN('取引リスト'!B111),FALSE)</f>
        <v>#N/A</v>
      </c>
      <c r="I109" s="38" t="e">
        <f>VLOOKUP($B109,'取引リスト'!$A:$C,COLUMN('取引リスト'!C111),FALSE)</f>
        <v>#N/A</v>
      </c>
      <c r="J109" s="39">
        <f>_xlfn.IFERROR(INDEX('予定入力'!$B$1:$J$20,MATCH($B109,'予定入力'!$B$1:$B$20,0),MATCH($L109,'予定入力'!$B$1:$J$1,0)),0)</f>
        <v>0</v>
      </c>
      <c r="K109" s="40">
        <v>2018</v>
      </c>
      <c r="L109" s="41">
        <f>+L90+1</f>
        <v>6</v>
      </c>
      <c r="M109" s="42">
        <f>_xlfn.IFERROR(INDEX('予定入力'!$B$1:$J$20,MATCH($B109,'予定入力'!$B$1:$B$20,0),MATCH($M$1,'予定入力'!$B$1:$J$1,0)),0)</f>
        <v>0</v>
      </c>
      <c r="N109" s="43">
        <f t="shared" si="11"/>
      </c>
      <c r="O109" s="44" t="e">
        <f t="shared" si="14"/>
        <v>#VALUE!</v>
      </c>
      <c r="P109" s="29"/>
    </row>
    <row r="110" spans="1:16" ht="18.75">
      <c r="A110" s="3">
        <f>IF(M110=0,"",IF(M110="末",EDATE(DATE(K110,L110,1),1)-1,DATE(K110,L110,M110)))</f>
      </c>
      <c r="B110" s="18">
        <f>IF('予定入力'!B20="","",'予定入力'!B20)</f>
      </c>
      <c r="C110" s="18"/>
      <c r="D110" s="18"/>
      <c r="E110" s="18"/>
      <c r="F110" s="18"/>
      <c r="G110" s="5"/>
      <c r="H110" s="38" t="e">
        <f>VLOOKUP($B110,'取引リスト'!$A:$C,COLUMN('取引リスト'!B112),FALSE)</f>
        <v>#N/A</v>
      </c>
      <c r="I110" s="38" t="e">
        <f>VLOOKUP($B110,'取引リスト'!$A:$C,COLUMN('取引リスト'!C112),FALSE)</f>
        <v>#N/A</v>
      </c>
      <c r="J110" s="39">
        <f>_xlfn.IFERROR(INDEX('予定入力'!$B$1:$J$20,MATCH($B110,'予定入力'!$B$1:$B$20,0),MATCH($L110,'予定入力'!$B$1:$J$1,0)),0)</f>
        <v>0</v>
      </c>
      <c r="K110" s="40">
        <v>2018</v>
      </c>
      <c r="L110" s="41">
        <f>+L91+1</f>
        <v>6</v>
      </c>
      <c r="M110" s="42">
        <f>_xlfn.IFERROR(INDEX('予定入力'!$B$1:$J$20,MATCH($B110,'予定入力'!$B$1:$B$20,0),MATCH($M$1,'予定入力'!$B$1:$J$1,0)),0)</f>
        <v>0</v>
      </c>
      <c r="N110" s="43">
        <f t="shared" si="11"/>
      </c>
      <c r="O110" s="44" t="e">
        <f t="shared" si="14"/>
        <v>#VALUE!</v>
      </c>
      <c r="P110" s="29"/>
    </row>
    <row r="111" spans="1:16" ht="18.75">
      <c r="A111" s="3">
        <f t="shared" si="8"/>
        <v>43286</v>
      </c>
      <c r="B111" s="18" t="str">
        <f>IF('予定入力'!B2="","",'予定入力'!B2)</f>
        <v>丸太町商店</v>
      </c>
      <c r="C111" s="18"/>
      <c r="D111" s="18"/>
      <c r="E111" s="18"/>
      <c r="F111" s="18"/>
      <c r="G111" s="5"/>
      <c r="H111" s="38" t="str">
        <f>VLOOKUP($B111,'取引リスト'!$A:$C,COLUMN('取引リスト'!B113),FALSE)</f>
        <v>売上(手形)</v>
      </c>
      <c r="I111" s="38" t="str">
        <f>VLOOKUP($B111,'取引リスト'!$A:$C,COLUMN('取引リスト'!C113),FALSE)</f>
        <v>A.経常収支</v>
      </c>
      <c r="J111" s="39">
        <f>_xlfn.IFERROR(INDEX('予定入力'!$B$1:$J$20,MATCH($B111,'予定入力'!$B$1:$B$20,0),MATCH($L111,'予定入力'!$B$1:$J$1,0)),0)</f>
        <v>3600</v>
      </c>
      <c r="K111" s="40">
        <v>2018</v>
      </c>
      <c r="L111" s="41">
        <f aca="true" t="shared" si="15" ref="L111:L125">+L92+1</f>
        <v>7</v>
      </c>
      <c r="M111" s="42">
        <f>_xlfn.IFERROR(INDEX('予定入力'!$B$1:$J$20,MATCH($B111,'予定入力'!$B$1:$B$20,0),MATCH($M$1,'予定入力'!$B$1:$J$1,0)),0)</f>
        <v>5</v>
      </c>
      <c r="N111" s="43" t="str">
        <f t="shared" si="11"/>
        <v>1.収入</v>
      </c>
      <c r="O111" s="44" t="str">
        <f t="shared" si="14"/>
        <v>05(木)</v>
      </c>
      <c r="P111" s="29"/>
    </row>
    <row r="112" spans="1:16" ht="18.75">
      <c r="A112" s="3">
        <f t="shared" si="8"/>
        <v>43306</v>
      </c>
      <c r="B112" s="18" t="str">
        <f>IF('予定入力'!B3="","",'予定入力'!B3)</f>
        <v>現金売上</v>
      </c>
      <c r="C112" s="18"/>
      <c r="D112" s="18"/>
      <c r="E112" s="18"/>
      <c r="F112" s="18"/>
      <c r="G112" s="5"/>
      <c r="H112" s="38" t="str">
        <f>VLOOKUP($B112,'取引リスト'!$A:$C,COLUMN('取引リスト'!B114),FALSE)</f>
        <v>売上(現金)</v>
      </c>
      <c r="I112" s="38" t="str">
        <f>VLOOKUP($B112,'取引リスト'!$A:$C,COLUMN('取引リスト'!C114),FALSE)</f>
        <v>A.経常収支</v>
      </c>
      <c r="J112" s="39">
        <f>_xlfn.IFERROR(INDEX('予定入力'!$B$1:$J$20,MATCH($B112,'予定入力'!$B$1:$B$20,0),MATCH($L112,'予定入力'!$B$1:$J$1,0)),0)</f>
        <v>5000</v>
      </c>
      <c r="K112" s="40">
        <v>2018</v>
      </c>
      <c r="L112" s="41">
        <f t="shared" si="15"/>
        <v>7</v>
      </c>
      <c r="M112" s="42">
        <f>_xlfn.IFERROR(INDEX('予定入力'!$B$1:$J$20,MATCH($B112,'予定入力'!$B$1:$B$20,0),MATCH($M$1,'予定入力'!$B$1:$J$1,0)),0)</f>
        <v>25</v>
      </c>
      <c r="N112" s="43" t="str">
        <f t="shared" si="11"/>
        <v>1.収入</v>
      </c>
      <c r="O112" s="44" t="str">
        <f t="shared" si="14"/>
        <v>25(水)</v>
      </c>
      <c r="P112" s="29"/>
    </row>
    <row r="113" spans="1:16" ht="18.75">
      <c r="A113" s="3">
        <f t="shared" si="8"/>
      </c>
      <c r="B113" s="18">
        <f>IF('予定入力'!B4="","",'予定入力'!B4)</f>
      </c>
      <c r="C113" s="18"/>
      <c r="D113" s="18"/>
      <c r="E113" s="18"/>
      <c r="F113" s="18"/>
      <c r="G113" s="5"/>
      <c r="H113" s="38" t="e">
        <f>VLOOKUP($B113,'取引リスト'!$A:$C,COLUMN('取引リスト'!B115),FALSE)</f>
        <v>#N/A</v>
      </c>
      <c r="I113" s="38" t="e">
        <f>VLOOKUP($B113,'取引リスト'!$A:$C,COLUMN('取引リスト'!C115),FALSE)</f>
        <v>#N/A</v>
      </c>
      <c r="J113" s="39">
        <f>_xlfn.IFERROR(INDEX('予定入力'!$B$1:$J$20,MATCH($B113,'予定入力'!$B$1:$B$20,0),MATCH($L113,'予定入力'!$B$1:$J$1,0)),0)</f>
        <v>0</v>
      </c>
      <c r="K113" s="40">
        <v>2018</v>
      </c>
      <c r="L113" s="41">
        <f t="shared" si="15"/>
        <v>7</v>
      </c>
      <c r="M113" s="42">
        <f>_xlfn.IFERROR(INDEX('予定入力'!$B$1:$J$20,MATCH($B113,'予定入力'!$B$1:$B$20,0),MATCH($M$1,'予定入力'!$B$1:$J$1,0)),0)</f>
        <v>0</v>
      </c>
      <c r="N113" s="43">
        <f t="shared" si="11"/>
      </c>
      <c r="O113" s="44" t="e">
        <f t="shared" si="14"/>
        <v>#VALUE!</v>
      </c>
      <c r="P113" s="29"/>
    </row>
    <row r="114" spans="1:16" ht="18.75">
      <c r="A114" s="3">
        <f t="shared" si="8"/>
        <v>43312</v>
      </c>
      <c r="B114" s="18" t="str">
        <f>IF('予定入力'!B5="","",'予定入力'!B5)</f>
        <v>六角物産</v>
      </c>
      <c r="C114" s="18"/>
      <c r="D114" s="18"/>
      <c r="E114" s="18"/>
      <c r="F114" s="18"/>
      <c r="G114" s="5"/>
      <c r="H114" s="38" t="str">
        <f>VLOOKUP($B114,'取引リスト'!$A:$C,COLUMN('取引リスト'!B116),FALSE)</f>
        <v>仕入</v>
      </c>
      <c r="I114" s="38" t="str">
        <f>VLOOKUP($B114,'取引リスト'!$A:$C,COLUMN('取引リスト'!C116),FALSE)</f>
        <v>A.経常収支</v>
      </c>
      <c r="J114" s="39">
        <f>_xlfn.IFERROR(INDEX('予定入力'!$B$1:$J$20,MATCH($B114,'予定入力'!$B$1:$B$20,0),MATCH($L114,'予定入力'!$B$1:$J$1,0)),0)</f>
        <v>-2400</v>
      </c>
      <c r="K114" s="40">
        <v>2018</v>
      </c>
      <c r="L114" s="41">
        <f t="shared" si="15"/>
        <v>7</v>
      </c>
      <c r="M114" s="42" t="str">
        <f>_xlfn.IFERROR(INDEX('予定入力'!$B$1:$J$20,MATCH($B114,'予定入力'!$B$1:$B$20,0),MATCH($M$1,'予定入力'!$B$1:$J$1,0)),0)</f>
        <v>末</v>
      </c>
      <c r="N114" s="43" t="str">
        <f t="shared" si="11"/>
        <v>2.支出</v>
      </c>
      <c r="O114" s="44" t="str">
        <f t="shared" si="14"/>
        <v>31(火)</v>
      </c>
      <c r="P114" s="29"/>
    </row>
    <row r="115" spans="1:16" ht="18.75">
      <c r="A115" s="3">
        <f t="shared" si="8"/>
        <v>43296</v>
      </c>
      <c r="B115" s="18" t="str">
        <f>IF('予定入力'!B6="","",'予定入力'!B6)</f>
        <v>姉小路商事</v>
      </c>
      <c r="C115" s="18"/>
      <c r="D115" s="18"/>
      <c r="E115" s="18"/>
      <c r="F115" s="18"/>
      <c r="G115" s="5"/>
      <c r="H115" s="38" t="str">
        <f>VLOOKUP($B115,'取引リスト'!$A:$C,COLUMN('取引リスト'!B117),FALSE)</f>
        <v>仕入</v>
      </c>
      <c r="I115" s="38" t="str">
        <f>VLOOKUP($B115,'取引リスト'!$A:$C,COLUMN('取引リスト'!C117),FALSE)</f>
        <v>A.経常収支</v>
      </c>
      <c r="J115" s="39">
        <f>_xlfn.IFERROR(INDEX('予定入力'!$B$1:$J$20,MATCH($B115,'予定入力'!$B$1:$B$20,0),MATCH($L115,'予定入力'!$B$1:$J$1,0)),0)</f>
        <v>-3500</v>
      </c>
      <c r="K115" s="40">
        <v>2018</v>
      </c>
      <c r="L115" s="41">
        <f t="shared" si="15"/>
        <v>7</v>
      </c>
      <c r="M115" s="42">
        <f>_xlfn.IFERROR(INDEX('予定入力'!$B$1:$J$20,MATCH($B115,'予定入力'!$B$1:$B$20,0),MATCH($M$1,'予定入力'!$B$1:$J$1,0)),0)</f>
        <v>15</v>
      </c>
      <c r="N115" s="43" t="str">
        <f t="shared" si="11"/>
        <v>2.支出</v>
      </c>
      <c r="O115" s="44" t="str">
        <f t="shared" si="14"/>
        <v>15(日)</v>
      </c>
      <c r="P115" s="29"/>
    </row>
    <row r="116" spans="1:16" ht="18.75">
      <c r="A116" s="3">
        <f aca="true" t="shared" si="16" ref="A116:A144">IF(M116=0,"",IF(M116="末",EDATE(DATE(K116,L116,1),1)-1,DATE(K116,L116,M116)))</f>
      </c>
      <c r="B116" s="18">
        <f>IF('予定入力'!B7="","",'予定入力'!B7)</f>
      </c>
      <c r="C116" s="18"/>
      <c r="D116" s="18"/>
      <c r="E116" s="18"/>
      <c r="F116" s="18"/>
      <c r="G116" s="5"/>
      <c r="H116" s="38" t="e">
        <f>VLOOKUP($B116,'取引リスト'!$A:$C,COLUMN('取引リスト'!B118),FALSE)</f>
        <v>#N/A</v>
      </c>
      <c r="I116" s="38" t="e">
        <f>VLOOKUP($B116,'取引リスト'!$A:$C,COLUMN('取引リスト'!C118),FALSE)</f>
        <v>#N/A</v>
      </c>
      <c r="J116" s="39">
        <f>_xlfn.IFERROR(INDEX('予定入力'!$B$1:$J$20,MATCH($B116,'予定入力'!$B$1:$B$20,0),MATCH($L116,'予定入力'!$B$1:$J$1,0)),0)</f>
        <v>0</v>
      </c>
      <c r="K116" s="40">
        <v>2018</v>
      </c>
      <c r="L116" s="41">
        <f t="shared" si="15"/>
        <v>7</v>
      </c>
      <c r="M116" s="42">
        <f>_xlfn.IFERROR(INDEX('予定入力'!$B$1:$J$20,MATCH($B116,'予定入力'!$B$1:$B$20,0),MATCH($M$1,'予定入力'!$B$1:$J$1,0)),0)</f>
        <v>0</v>
      </c>
      <c r="N116" s="43">
        <f t="shared" si="11"/>
      </c>
      <c r="O116" s="44" t="e">
        <f t="shared" si="14"/>
        <v>#VALUE!</v>
      </c>
      <c r="P116" s="29"/>
    </row>
    <row r="117" spans="1:16" ht="18.75">
      <c r="A117" s="3">
        <f t="shared" si="16"/>
        <v>43312</v>
      </c>
      <c r="B117" s="18" t="str">
        <f>IF('予定入力'!B8="","",'予定入力'!B8)</f>
        <v>西洞院不動産</v>
      </c>
      <c r="C117" s="18"/>
      <c r="D117" s="18"/>
      <c r="E117" s="18"/>
      <c r="F117" s="18"/>
      <c r="G117" s="5"/>
      <c r="H117" s="38" t="str">
        <f>VLOOKUP($B117,'取引リスト'!$A:$C,COLUMN('取引リスト'!B119),FALSE)</f>
        <v>地代家賃</v>
      </c>
      <c r="I117" s="38" t="str">
        <f>VLOOKUP($B117,'取引リスト'!$A:$C,COLUMN('取引リスト'!C119),FALSE)</f>
        <v>A.経常収支</v>
      </c>
      <c r="J117" s="39">
        <f>_xlfn.IFERROR(INDEX('予定入力'!$B$1:$J$20,MATCH($B117,'予定入力'!$B$1:$B$20,0),MATCH($L117,'予定入力'!$B$1:$J$1,0)),0)</f>
        <v>-250</v>
      </c>
      <c r="K117" s="40">
        <v>2018</v>
      </c>
      <c r="L117" s="41">
        <f t="shared" si="15"/>
        <v>7</v>
      </c>
      <c r="M117" s="42" t="str">
        <f>_xlfn.IFERROR(INDEX('予定入力'!$B$1:$J$20,MATCH($B117,'予定入力'!$B$1:$B$20,0),MATCH($M$1,'予定入力'!$B$1:$J$1,0)),0)</f>
        <v>末</v>
      </c>
      <c r="N117" s="43" t="str">
        <f t="shared" si="11"/>
        <v>2.支出</v>
      </c>
      <c r="O117" s="44" t="str">
        <f t="shared" si="14"/>
        <v>31(火)</v>
      </c>
      <c r="P117" s="29"/>
    </row>
    <row r="118" spans="1:16" ht="18.75">
      <c r="A118" s="3">
        <f t="shared" si="16"/>
        <v>43301</v>
      </c>
      <c r="B118" s="18" t="str">
        <f>IF('予定入力'!B9="","",'予定入力'!B9)</f>
        <v>従業員</v>
      </c>
      <c r="C118" s="18"/>
      <c r="D118" s="18"/>
      <c r="E118" s="18"/>
      <c r="F118" s="18"/>
      <c r="G118" s="5"/>
      <c r="H118" s="38" t="str">
        <f>VLOOKUP($B118,'取引リスト'!$A:$C,COLUMN('取引リスト'!B120),FALSE)</f>
        <v>人件費</v>
      </c>
      <c r="I118" s="38" t="str">
        <f>VLOOKUP($B118,'取引リスト'!$A:$C,COLUMN('取引リスト'!C120),FALSE)</f>
        <v>A.経常収支</v>
      </c>
      <c r="J118" s="39">
        <f>_xlfn.IFERROR(INDEX('予定入力'!$B$1:$J$20,MATCH($B118,'予定入力'!$B$1:$B$20,0),MATCH($L118,'予定入力'!$B$1:$J$1,0)),0)</f>
        <v>-900</v>
      </c>
      <c r="K118" s="40">
        <v>2018</v>
      </c>
      <c r="L118" s="41">
        <f t="shared" si="15"/>
        <v>7</v>
      </c>
      <c r="M118" s="42">
        <f>_xlfn.IFERROR(INDEX('予定入力'!$B$1:$J$20,MATCH($B118,'予定入力'!$B$1:$B$20,0),MATCH($M$1,'予定入力'!$B$1:$J$1,0)),0)</f>
        <v>20</v>
      </c>
      <c r="N118" s="43" t="str">
        <f t="shared" si="11"/>
        <v>2.支出</v>
      </c>
      <c r="O118" s="44" t="str">
        <f t="shared" si="14"/>
        <v>20(金)</v>
      </c>
      <c r="P118" s="29"/>
    </row>
    <row r="119" spans="1:16" ht="18.75">
      <c r="A119" s="3">
        <f t="shared" si="16"/>
        <v>43312</v>
      </c>
      <c r="B119" s="18" t="str">
        <f>IF('予定入力'!B10="","",'予定入力'!B10)</f>
        <v>役員報酬</v>
      </c>
      <c r="C119" s="18"/>
      <c r="D119" s="18"/>
      <c r="E119" s="18"/>
      <c r="F119" s="18"/>
      <c r="G119" s="5"/>
      <c r="H119" s="38" t="str">
        <f>VLOOKUP($B119,'取引リスト'!$A:$C,COLUMN('取引リスト'!B121),FALSE)</f>
        <v>人件費</v>
      </c>
      <c r="I119" s="38" t="str">
        <f>VLOOKUP($B119,'取引リスト'!$A:$C,COLUMN('取引リスト'!C121),FALSE)</f>
        <v>A.経常収支</v>
      </c>
      <c r="J119" s="39">
        <f>_xlfn.IFERROR(INDEX('予定入力'!$B$1:$J$20,MATCH($B119,'予定入力'!$B$1:$B$20,0),MATCH($L119,'予定入力'!$B$1:$J$1,0)),0)</f>
        <v>-500</v>
      </c>
      <c r="K119" s="40">
        <v>2018</v>
      </c>
      <c r="L119" s="41">
        <f t="shared" si="15"/>
        <v>7</v>
      </c>
      <c r="M119" s="42" t="str">
        <f>_xlfn.IFERROR(INDEX('予定入力'!$B$1:$J$20,MATCH($B119,'予定入力'!$B$1:$B$20,0),MATCH($M$1,'予定入力'!$B$1:$J$1,0)),0)</f>
        <v>末</v>
      </c>
      <c r="N119" s="43" t="str">
        <f t="shared" si="11"/>
        <v>2.支出</v>
      </c>
      <c r="O119" s="44" t="str">
        <f t="shared" si="14"/>
        <v>31(火)</v>
      </c>
      <c r="P119" s="29"/>
    </row>
    <row r="120" spans="1:16" ht="18.75">
      <c r="A120" s="3">
        <f t="shared" si="16"/>
      </c>
      <c r="B120" s="18">
        <f>IF('予定入力'!B11="","",'予定入力'!B11)</f>
      </c>
      <c r="C120" s="18"/>
      <c r="D120" s="18"/>
      <c r="E120" s="18"/>
      <c r="F120" s="18"/>
      <c r="G120" s="5"/>
      <c r="H120" s="38" t="e">
        <f>VLOOKUP($B120,'取引リスト'!$A:$C,COLUMN('取引リスト'!B122),FALSE)</f>
        <v>#N/A</v>
      </c>
      <c r="I120" s="38" t="e">
        <f>VLOOKUP($B120,'取引リスト'!$A:$C,COLUMN('取引リスト'!C122),FALSE)</f>
        <v>#N/A</v>
      </c>
      <c r="J120" s="39">
        <f>_xlfn.IFERROR(INDEX('予定入力'!$B$1:$J$20,MATCH($B120,'予定入力'!$B$1:$B$20,0),MATCH($L120,'予定入力'!$B$1:$J$1,0)),0)</f>
        <v>0</v>
      </c>
      <c r="K120" s="40">
        <v>2018</v>
      </c>
      <c r="L120" s="41">
        <f t="shared" si="15"/>
        <v>7</v>
      </c>
      <c r="M120" s="42">
        <f>_xlfn.IFERROR(INDEX('予定入力'!$B$1:$J$20,MATCH($B120,'予定入力'!$B$1:$B$20,0),MATCH($M$1,'予定入力'!$B$1:$J$1,0)),0)</f>
        <v>0</v>
      </c>
      <c r="N120" s="43">
        <f t="shared" si="11"/>
      </c>
      <c r="O120" s="44" t="e">
        <f t="shared" si="14"/>
        <v>#VALUE!</v>
      </c>
      <c r="P120" s="29"/>
    </row>
    <row r="121" spans="1:16" ht="18.75">
      <c r="A121" s="3">
        <f t="shared" si="16"/>
      </c>
      <c r="B121" s="18" t="str">
        <f>IF('予定入力'!B12="","",'予定入力'!B12)</f>
        <v>役員借入</v>
      </c>
      <c r="C121" s="18"/>
      <c r="D121" s="18"/>
      <c r="E121" s="18"/>
      <c r="F121" s="18"/>
      <c r="G121" s="5"/>
      <c r="H121" s="38" t="str">
        <f>VLOOKUP($B121,'取引リスト'!$A:$C,COLUMN('取引リスト'!B123),FALSE)</f>
        <v>役員借入</v>
      </c>
      <c r="I121" s="38" t="str">
        <f>VLOOKUP($B121,'取引リスト'!$A:$C,COLUMN('取引リスト'!C123),FALSE)</f>
        <v>C.財務収支</v>
      </c>
      <c r="J121" s="39">
        <f>_xlfn.IFERROR(INDEX('予定入力'!$B$1:$J$20,MATCH($B121,'予定入力'!$B$1:$B$20,0),MATCH($L121,'予定入力'!$B$1:$J$1,0)),0)</f>
        <v>0</v>
      </c>
      <c r="K121" s="40">
        <v>2018</v>
      </c>
      <c r="L121" s="41">
        <f t="shared" si="15"/>
        <v>7</v>
      </c>
      <c r="M121" s="42">
        <f>_xlfn.IFERROR(INDEX('予定入力'!$B$1:$J$20,MATCH($B121,'予定入力'!$B$1:$B$20,0),MATCH($M$1,'予定入力'!$B$1:$J$1,0)),0)</f>
        <v>0</v>
      </c>
      <c r="N121" s="43">
        <f t="shared" si="11"/>
      </c>
      <c r="O121" s="44" t="e">
        <f t="shared" si="14"/>
        <v>#VALUE!</v>
      </c>
      <c r="P121" s="29"/>
    </row>
    <row r="122" spans="1:16" ht="18.75">
      <c r="A122" s="3">
        <f t="shared" si="16"/>
        <v>43282</v>
      </c>
      <c r="B122" s="18" t="str">
        <f>IF('予定入力'!B13="","",'予定入力'!B13)</f>
        <v>役員返済</v>
      </c>
      <c r="C122" s="18"/>
      <c r="D122" s="18"/>
      <c r="E122" s="18"/>
      <c r="F122" s="18"/>
      <c r="G122" s="5"/>
      <c r="H122" s="38" t="str">
        <f>VLOOKUP($B122,'取引リスト'!$A:$C,COLUMN('取引リスト'!B124),FALSE)</f>
        <v>役員返済</v>
      </c>
      <c r="I122" s="38" t="str">
        <f>VLOOKUP($B122,'取引リスト'!$A:$C,COLUMN('取引リスト'!C124),FALSE)</f>
        <v>C.財務収支</v>
      </c>
      <c r="J122" s="39">
        <f>_xlfn.IFERROR(INDEX('予定入力'!$B$1:$J$20,MATCH($B122,'予定入力'!$B$1:$B$20,0),MATCH($L122,'予定入力'!$B$1:$J$1,0)),0)</f>
        <v>0</v>
      </c>
      <c r="K122" s="40">
        <v>2018</v>
      </c>
      <c r="L122" s="41">
        <f t="shared" si="15"/>
        <v>7</v>
      </c>
      <c r="M122" s="42">
        <f>_xlfn.IFERROR(INDEX('予定入力'!$B$1:$J$20,MATCH($B122,'予定入力'!$B$1:$B$20,0),MATCH($M$1,'予定入力'!$B$1:$J$1,0)),0)</f>
        <v>1</v>
      </c>
      <c r="N122" s="43">
        <f t="shared" si="11"/>
      </c>
      <c r="O122" s="44" t="str">
        <f t="shared" si="14"/>
        <v>01(日)</v>
      </c>
      <c r="P122" s="29"/>
    </row>
    <row r="123" spans="1:16" ht="18.75">
      <c r="A123" s="3">
        <f t="shared" si="16"/>
        <v>43286</v>
      </c>
      <c r="B123" s="18" t="str">
        <f>IF('予定入力'!B14="","",'予定入力'!B14)</f>
        <v>堀川銀行借入</v>
      </c>
      <c r="C123" s="18"/>
      <c r="D123" s="18"/>
      <c r="E123" s="18"/>
      <c r="F123" s="18"/>
      <c r="G123" s="5"/>
      <c r="H123" s="38" t="str">
        <f>VLOOKUP($B123,'取引リスト'!$A:$C,COLUMN('取引リスト'!B125),FALSE)</f>
        <v>銀行借入</v>
      </c>
      <c r="I123" s="38" t="str">
        <f>VLOOKUP($B123,'取引リスト'!$A:$C,COLUMN('取引リスト'!C125),FALSE)</f>
        <v>C.財務収支</v>
      </c>
      <c r="J123" s="39">
        <f>_xlfn.IFERROR(INDEX('予定入力'!$B$1:$J$20,MATCH($B123,'予定入力'!$B$1:$B$20,0),MATCH($L123,'予定入力'!$B$1:$J$1,0)),0)</f>
        <v>0</v>
      </c>
      <c r="K123" s="40">
        <v>2018</v>
      </c>
      <c r="L123" s="41">
        <f t="shared" si="15"/>
        <v>7</v>
      </c>
      <c r="M123" s="42">
        <f>_xlfn.IFERROR(INDEX('予定入力'!$B$1:$J$20,MATCH($B123,'予定入力'!$B$1:$B$20,0),MATCH($M$1,'予定入力'!$B$1:$J$1,0)),0)</f>
        <v>5</v>
      </c>
      <c r="N123" s="43">
        <f t="shared" si="11"/>
      </c>
      <c r="O123" s="44" t="str">
        <f t="shared" si="14"/>
        <v>05(木)</v>
      </c>
      <c r="P123" s="29"/>
    </row>
    <row r="124" spans="1:16" ht="18.75">
      <c r="A124" s="3">
        <f t="shared" si="16"/>
        <v>43291</v>
      </c>
      <c r="B124" s="18" t="str">
        <f>IF('予定入力'!B15="","",'予定入力'!B15)</f>
        <v>堀川銀行利息</v>
      </c>
      <c r="C124" s="18"/>
      <c r="D124" s="18"/>
      <c r="E124" s="18"/>
      <c r="F124" s="18"/>
      <c r="G124" s="5"/>
      <c r="H124" s="38" t="str">
        <f>VLOOKUP($B124,'取引リスト'!$A:$C,COLUMN('取引リスト'!B126),FALSE)</f>
        <v>その他経費</v>
      </c>
      <c r="I124" s="38" t="str">
        <f>VLOOKUP($B124,'取引リスト'!$A:$C,COLUMN('取引リスト'!C126),FALSE)</f>
        <v>A.経常収支</v>
      </c>
      <c r="J124" s="39">
        <f>_xlfn.IFERROR(INDEX('予定入力'!$B$1:$J$20,MATCH($B124,'予定入力'!$B$1:$B$20,0),MATCH($L124,'予定入力'!$B$1:$J$1,0)),0)</f>
        <v>0</v>
      </c>
      <c r="K124" s="40">
        <v>2018</v>
      </c>
      <c r="L124" s="41">
        <f t="shared" si="15"/>
        <v>7</v>
      </c>
      <c r="M124" s="42">
        <f>_xlfn.IFERROR(INDEX('予定入力'!$B$1:$J$20,MATCH($B124,'予定入力'!$B$1:$B$20,0),MATCH($M$1,'予定入力'!$B$1:$J$1,0)),0)</f>
        <v>10</v>
      </c>
      <c r="N124" s="43">
        <f t="shared" si="11"/>
      </c>
      <c r="O124" s="44" t="str">
        <f t="shared" si="14"/>
        <v>10(火)</v>
      </c>
      <c r="P124" s="29"/>
    </row>
    <row r="125" spans="1:16" ht="18.75">
      <c r="A125" s="3">
        <f t="shared" si="16"/>
        <v>43291</v>
      </c>
      <c r="B125" s="18" t="str">
        <f>IF('予定入力'!B16="","",'予定入力'!B16)</f>
        <v>堀川銀行返済</v>
      </c>
      <c r="C125" s="18"/>
      <c r="D125" s="18"/>
      <c r="E125" s="18"/>
      <c r="F125" s="18"/>
      <c r="G125" s="5"/>
      <c r="H125" s="38" t="str">
        <f>VLOOKUP($B125,'取引リスト'!$A:$C,COLUMN('取引リスト'!B127),FALSE)</f>
        <v>銀行返済</v>
      </c>
      <c r="I125" s="38" t="str">
        <f>VLOOKUP($B125,'取引リスト'!$A:$C,COLUMN('取引リスト'!C127),FALSE)</f>
        <v>C.財務収支</v>
      </c>
      <c r="J125" s="39">
        <f>_xlfn.IFERROR(INDEX('予定入力'!$B$1:$J$20,MATCH($B125,'予定入力'!$B$1:$B$20,0),MATCH($L125,'予定入力'!$B$1:$J$1,0)),0)</f>
        <v>0</v>
      </c>
      <c r="K125" s="40">
        <v>2018</v>
      </c>
      <c r="L125" s="41">
        <f t="shared" si="15"/>
        <v>7</v>
      </c>
      <c r="M125" s="42">
        <f>_xlfn.IFERROR(INDEX('予定入力'!$B$1:$J$20,MATCH($B125,'予定入力'!$B$1:$B$20,0),MATCH($M$1,'予定入力'!$B$1:$J$1,0)),0)</f>
        <v>10</v>
      </c>
      <c r="N125" s="43">
        <f t="shared" si="11"/>
      </c>
      <c r="O125" s="44" t="str">
        <f t="shared" si="14"/>
        <v>10(火)</v>
      </c>
      <c r="P125" s="29"/>
    </row>
    <row r="126" spans="1:16" ht="18.75">
      <c r="A126" s="3">
        <f>IF(M126=0,"",IF(M126="末",EDATE(DATE(K126,L126,1),1)-1,DATE(K126,L126,M126)))</f>
      </c>
      <c r="B126" s="18">
        <f>IF('予定入力'!B17="","",'予定入力'!B17)</f>
      </c>
      <c r="C126" s="18"/>
      <c r="D126" s="18"/>
      <c r="E126" s="18"/>
      <c r="F126" s="18"/>
      <c r="G126" s="5"/>
      <c r="H126" s="38" t="e">
        <f>VLOOKUP($B126,'取引リスト'!$A:$C,COLUMN('取引リスト'!B128),FALSE)</f>
        <v>#N/A</v>
      </c>
      <c r="I126" s="38" t="e">
        <f>VLOOKUP($B126,'取引リスト'!$A:$C,COLUMN('取引リスト'!C128),FALSE)</f>
        <v>#N/A</v>
      </c>
      <c r="J126" s="39">
        <f>_xlfn.IFERROR(INDEX('予定入力'!$B$1:$J$20,MATCH($B126,'予定入力'!$B$1:$B$20,0),MATCH($L126,'予定入力'!$B$1:$J$1,0)),0)</f>
        <v>0</v>
      </c>
      <c r="K126" s="40">
        <v>2018</v>
      </c>
      <c r="L126" s="41">
        <f aca="true" t="shared" si="17" ref="L126:L134">+L107+1</f>
        <v>7</v>
      </c>
      <c r="M126" s="42">
        <f>_xlfn.IFERROR(INDEX('予定入力'!$B$1:$J$20,MATCH($B126,'予定入力'!$B$1:$B$20,0),MATCH($M$1,'予定入力'!$B$1:$J$1,0)),0)</f>
        <v>0</v>
      </c>
      <c r="N126" s="43">
        <f t="shared" si="11"/>
      </c>
      <c r="O126" s="44" t="e">
        <f t="shared" si="14"/>
        <v>#VALUE!</v>
      </c>
      <c r="P126" s="29"/>
    </row>
    <row r="127" spans="1:16" ht="18.75">
      <c r="A127" s="3">
        <f>IF(M127=0,"",IF(M127="末",EDATE(DATE(K127,L127,1),1)-1,DATE(K127,L127,M127)))</f>
        <v>43286</v>
      </c>
      <c r="B127" s="18" t="str">
        <f>IF('予定入力'!B18="","",'予定入力'!B18)</f>
        <v>四条工務店</v>
      </c>
      <c r="C127" s="18"/>
      <c r="D127" s="18"/>
      <c r="E127" s="18"/>
      <c r="F127" s="18"/>
      <c r="G127" s="5"/>
      <c r="H127" s="38" t="str">
        <f>VLOOKUP($B127,'取引リスト'!$A:$C,COLUMN('取引リスト'!B129),FALSE)</f>
        <v>固定資産</v>
      </c>
      <c r="I127" s="38" t="str">
        <f>VLOOKUP($B127,'取引リスト'!$A:$C,COLUMN('取引リスト'!C129),FALSE)</f>
        <v>B.非経常収支</v>
      </c>
      <c r="J127" s="39">
        <f>_xlfn.IFERROR(INDEX('予定入力'!$B$1:$J$20,MATCH($B127,'予定入力'!$B$1:$B$20,0),MATCH($L127,'予定入力'!$B$1:$J$1,0)),0)</f>
        <v>0</v>
      </c>
      <c r="K127" s="40">
        <v>2018</v>
      </c>
      <c r="L127" s="41">
        <f t="shared" si="17"/>
        <v>7</v>
      </c>
      <c r="M127" s="42">
        <f>_xlfn.IFERROR(INDEX('予定入力'!$B$1:$J$20,MATCH($B127,'予定入力'!$B$1:$B$20,0),MATCH($M$1,'予定入力'!$B$1:$J$1,0)),0)</f>
        <v>5</v>
      </c>
      <c r="N127" s="43">
        <f t="shared" si="11"/>
      </c>
      <c r="O127" s="44" t="str">
        <f t="shared" si="14"/>
        <v>05(木)</v>
      </c>
      <c r="P127" s="29"/>
    </row>
    <row r="128" spans="1:16" ht="18.75">
      <c r="A128" s="3">
        <f>IF(M128=0,"",IF(M128="末",EDATE(DATE(K128,L128,1),1)-1,DATE(K128,L128,M128)))</f>
      </c>
      <c r="B128" s="18">
        <f>IF('予定入力'!B19="","",'予定入力'!B19)</f>
      </c>
      <c r="C128" s="18"/>
      <c r="D128" s="18"/>
      <c r="E128" s="18"/>
      <c r="F128" s="18"/>
      <c r="G128" s="5"/>
      <c r="H128" s="38" t="e">
        <f>VLOOKUP($B128,'取引リスト'!$A:$C,COLUMN('取引リスト'!B130),FALSE)</f>
        <v>#N/A</v>
      </c>
      <c r="I128" s="38" t="e">
        <f>VLOOKUP($B128,'取引リスト'!$A:$C,COLUMN('取引リスト'!C130),FALSE)</f>
        <v>#N/A</v>
      </c>
      <c r="J128" s="39">
        <f>_xlfn.IFERROR(INDEX('予定入力'!$B$1:$J$20,MATCH($B128,'予定入力'!$B$1:$B$20,0),MATCH($L128,'予定入力'!$B$1:$J$1,0)),0)</f>
        <v>0</v>
      </c>
      <c r="K128" s="40">
        <v>2018</v>
      </c>
      <c r="L128" s="41">
        <f t="shared" si="17"/>
        <v>7</v>
      </c>
      <c r="M128" s="42">
        <f>_xlfn.IFERROR(INDEX('予定入力'!$B$1:$J$20,MATCH($B128,'予定入力'!$B$1:$B$20,0),MATCH($M$1,'予定入力'!$B$1:$J$1,0)),0)</f>
        <v>0</v>
      </c>
      <c r="N128" s="43">
        <f t="shared" si="11"/>
      </c>
      <c r="O128" s="44" t="e">
        <f t="shared" si="14"/>
        <v>#VALUE!</v>
      </c>
      <c r="P128" s="29"/>
    </row>
    <row r="129" spans="1:16" ht="18.75">
      <c r="A129" s="3">
        <f>IF(M129=0,"",IF(M129="末",EDATE(DATE(K129,L129,1),1)-1,DATE(K129,L129,M129)))</f>
      </c>
      <c r="B129" s="18">
        <f>IF('予定入力'!B20="","",'予定入力'!B20)</f>
      </c>
      <c r="C129" s="18"/>
      <c r="D129" s="18"/>
      <c r="E129" s="18"/>
      <c r="F129" s="18"/>
      <c r="G129" s="5"/>
      <c r="H129" s="38" t="e">
        <f>VLOOKUP($B129,'取引リスト'!$A:$C,COLUMN('取引リスト'!B131),FALSE)</f>
        <v>#N/A</v>
      </c>
      <c r="I129" s="38" t="e">
        <f>VLOOKUP($B129,'取引リスト'!$A:$C,COLUMN('取引リスト'!C131),FALSE)</f>
        <v>#N/A</v>
      </c>
      <c r="J129" s="39">
        <f>_xlfn.IFERROR(INDEX('予定入力'!$B$1:$J$20,MATCH($B129,'予定入力'!$B$1:$B$20,0),MATCH($L129,'予定入力'!$B$1:$J$1,0)),0)</f>
        <v>0</v>
      </c>
      <c r="K129" s="40">
        <v>2018</v>
      </c>
      <c r="L129" s="41">
        <f t="shared" si="17"/>
        <v>7</v>
      </c>
      <c r="M129" s="42">
        <f>_xlfn.IFERROR(INDEX('予定入力'!$B$1:$J$20,MATCH($B129,'予定入力'!$B$1:$B$20,0),MATCH($M$1,'予定入力'!$B$1:$J$1,0)),0)</f>
        <v>0</v>
      </c>
      <c r="N129" s="43">
        <f t="shared" si="11"/>
      </c>
      <c r="O129" s="44" t="e">
        <f t="shared" si="14"/>
        <v>#VALUE!</v>
      </c>
      <c r="P129" s="29"/>
    </row>
    <row r="130" spans="1:16" ht="18.75">
      <c r="A130" s="3">
        <f t="shared" si="16"/>
        <v>43317</v>
      </c>
      <c r="B130" s="18" t="str">
        <f>IF('予定入力'!B2="","",'予定入力'!B2)</f>
        <v>丸太町商店</v>
      </c>
      <c r="C130" s="18"/>
      <c r="D130" s="18"/>
      <c r="E130" s="18"/>
      <c r="F130" s="18"/>
      <c r="G130" s="5"/>
      <c r="H130" s="38" t="str">
        <f>VLOOKUP($B130,'取引リスト'!$A:$C,COLUMN('取引リスト'!B132),FALSE)</f>
        <v>売上(手形)</v>
      </c>
      <c r="I130" s="38" t="str">
        <f>VLOOKUP($B130,'取引リスト'!$A:$C,COLUMN('取引リスト'!C132),FALSE)</f>
        <v>A.経常収支</v>
      </c>
      <c r="J130" s="39">
        <f>_xlfn.IFERROR(INDEX('予定入力'!$B$1:$J$20,MATCH($B130,'予定入力'!$B$1:$B$20,0),MATCH($L130,'予定入力'!$B$1:$J$1,0)),0)</f>
        <v>3600</v>
      </c>
      <c r="K130" s="40">
        <v>2018</v>
      </c>
      <c r="L130" s="41">
        <f t="shared" si="17"/>
        <v>8</v>
      </c>
      <c r="M130" s="42">
        <f>_xlfn.IFERROR(INDEX('予定入力'!$B$1:$J$20,MATCH($B130,'予定入力'!$B$1:$B$20,0),MATCH($M$1,'予定入力'!$B$1:$J$1,0)),0)</f>
        <v>5</v>
      </c>
      <c r="N130" s="43" t="str">
        <f t="shared" si="11"/>
        <v>1.収入</v>
      </c>
      <c r="O130" s="44" t="str">
        <f aca="true" t="shared" si="18" ref="O130:O148">TEXT(DAY(A130),"00")&amp;"("&amp;TEXT(A130,"aaa")&amp;")"</f>
        <v>05(日)</v>
      </c>
      <c r="P130" s="29"/>
    </row>
    <row r="131" spans="1:16" ht="18.75">
      <c r="A131" s="3">
        <f t="shared" si="16"/>
        <v>43337</v>
      </c>
      <c r="B131" s="18" t="str">
        <f>IF('予定入力'!B3="","",'予定入力'!B3)</f>
        <v>現金売上</v>
      </c>
      <c r="C131" s="18"/>
      <c r="D131" s="18"/>
      <c r="E131" s="18"/>
      <c r="F131" s="18"/>
      <c r="G131" s="5"/>
      <c r="H131" s="38" t="str">
        <f>VLOOKUP($B131,'取引リスト'!$A:$C,COLUMN('取引リスト'!B133),FALSE)</f>
        <v>売上(現金)</v>
      </c>
      <c r="I131" s="38" t="str">
        <f>VLOOKUP($B131,'取引リスト'!$A:$C,COLUMN('取引リスト'!C133),FALSE)</f>
        <v>A.経常収支</v>
      </c>
      <c r="J131" s="39">
        <f>_xlfn.IFERROR(INDEX('予定入力'!$B$1:$J$20,MATCH($B131,'予定入力'!$B$1:$B$20,0),MATCH($L131,'予定入力'!$B$1:$J$1,0)),0)</f>
        <v>5000</v>
      </c>
      <c r="K131" s="40">
        <v>2018</v>
      </c>
      <c r="L131" s="41">
        <f t="shared" si="17"/>
        <v>8</v>
      </c>
      <c r="M131" s="42">
        <f>_xlfn.IFERROR(INDEX('予定入力'!$B$1:$J$20,MATCH($B131,'予定入力'!$B$1:$B$20,0),MATCH($M$1,'予定入力'!$B$1:$J$1,0)),0)</f>
        <v>25</v>
      </c>
      <c r="N131" s="43" t="str">
        <f aca="true" t="shared" si="19" ref="N131:N148">IF(J131=0,"",IF(J131&gt;0,"1.収入","2.支出"))</f>
        <v>1.収入</v>
      </c>
      <c r="O131" s="44" t="str">
        <f t="shared" si="18"/>
        <v>25(土)</v>
      </c>
      <c r="P131" s="29"/>
    </row>
    <row r="132" spans="1:16" ht="18.75">
      <c r="A132" s="3">
        <f t="shared" si="16"/>
      </c>
      <c r="B132" s="18">
        <f>IF('予定入力'!B4="","",'予定入力'!B4)</f>
      </c>
      <c r="C132" s="18"/>
      <c r="D132" s="18"/>
      <c r="E132" s="18"/>
      <c r="F132" s="18"/>
      <c r="G132" s="5"/>
      <c r="H132" s="38" t="e">
        <f>VLOOKUP($B132,'取引リスト'!$A:$C,COLUMN('取引リスト'!B134),FALSE)</f>
        <v>#N/A</v>
      </c>
      <c r="I132" s="38" t="e">
        <f>VLOOKUP($B132,'取引リスト'!$A:$C,COLUMN('取引リスト'!C134),FALSE)</f>
        <v>#N/A</v>
      </c>
      <c r="J132" s="39">
        <f>_xlfn.IFERROR(INDEX('予定入力'!$B$1:$J$20,MATCH($B132,'予定入力'!$B$1:$B$20,0),MATCH($L132,'予定入力'!$B$1:$J$1,0)),0)</f>
        <v>0</v>
      </c>
      <c r="K132" s="40">
        <v>2018</v>
      </c>
      <c r="L132" s="41">
        <f t="shared" si="17"/>
        <v>8</v>
      </c>
      <c r="M132" s="42">
        <f>_xlfn.IFERROR(INDEX('予定入力'!$B$1:$J$20,MATCH($B132,'予定入力'!$B$1:$B$20,0),MATCH($M$1,'予定入力'!$B$1:$J$1,0)),0)</f>
        <v>0</v>
      </c>
      <c r="N132" s="43">
        <f t="shared" si="19"/>
      </c>
      <c r="O132" s="44" t="e">
        <f t="shared" si="18"/>
        <v>#VALUE!</v>
      </c>
      <c r="P132" s="29"/>
    </row>
    <row r="133" spans="1:16" ht="18.75">
      <c r="A133" s="3">
        <f t="shared" si="16"/>
        <v>43343</v>
      </c>
      <c r="B133" s="18" t="str">
        <f>IF('予定入力'!B5="","",'予定入力'!B5)</f>
        <v>六角物産</v>
      </c>
      <c r="C133" s="18"/>
      <c r="D133" s="18"/>
      <c r="E133" s="18"/>
      <c r="F133" s="18"/>
      <c r="G133" s="5"/>
      <c r="H133" s="38" t="str">
        <f>VLOOKUP($B133,'取引リスト'!$A:$C,COLUMN('取引リスト'!B135),FALSE)</f>
        <v>仕入</v>
      </c>
      <c r="I133" s="38" t="str">
        <f>VLOOKUP($B133,'取引リスト'!$A:$C,COLUMN('取引リスト'!C135),FALSE)</f>
        <v>A.経常収支</v>
      </c>
      <c r="J133" s="39">
        <f>_xlfn.IFERROR(INDEX('予定入力'!$B$1:$J$20,MATCH($B133,'予定入力'!$B$1:$B$20,0),MATCH($L133,'予定入力'!$B$1:$J$1,0)),0)</f>
        <v>-2400</v>
      </c>
      <c r="K133" s="40">
        <v>2018</v>
      </c>
      <c r="L133" s="41">
        <f t="shared" si="17"/>
        <v>8</v>
      </c>
      <c r="M133" s="42" t="str">
        <f>_xlfn.IFERROR(INDEX('予定入力'!$B$1:$J$20,MATCH($B133,'予定入力'!$B$1:$B$20,0),MATCH($M$1,'予定入力'!$B$1:$J$1,0)),0)</f>
        <v>末</v>
      </c>
      <c r="N133" s="43" t="str">
        <f t="shared" si="19"/>
        <v>2.支出</v>
      </c>
      <c r="O133" s="44" t="str">
        <f t="shared" si="18"/>
        <v>31(金)</v>
      </c>
      <c r="P133" s="29"/>
    </row>
    <row r="134" spans="1:16" ht="18.75">
      <c r="A134" s="3">
        <f t="shared" si="16"/>
        <v>43327</v>
      </c>
      <c r="B134" s="18" t="str">
        <f>IF('予定入力'!B6="","",'予定入力'!B6)</f>
        <v>姉小路商事</v>
      </c>
      <c r="C134" s="18"/>
      <c r="D134" s="18"/>
      <c r="E134" s="18"/>
      <c r="F134" s="18"/>
      <c r="G134" s="5"/>
      <c r="H134" s="38" t="str">
        <f>VLOOKUP($B134,'取引リスト'!$A:$C,COLUMN('取引リスト'!B136),FALSE)</f>
        <v>仕入</v>
      </c>
      <c r="I134" s="38" t="str">
        <f>VLOOKUP($B134,'取引リスト'!$A:$C,COLUMN('取引リスト'!C136),FALSE)</f>
        <v>A.経常収支</v>
      </c>
      <c r="J134" s="39">
        <f>_xlfn.IFERROR(INDEX('予定入力'!$B$1:$J$20,MATCH($B134,'予定入力'!$B$1:$B$20,0),MATCH($L134,'予定入力'!$B$1:$J$1,0)),0)</f>
        <v>-3500</v>
      </c>
      <c r="K134" s="40">
        <v>2018</v>
      </c>
      <c r="L134" s="41">
        <f t="shared" si="17"/>
        <v>8</v>
      </c>
      <c r="M134" s="42">
        <f>_xlfn.IFERROR(INDEX('予定入力'!$B$1:$J$20,MATCH($B134,'予定入力'!$B$1:$B$20,0),MATCH($M$1,'予定入力'!$B$1:$J$1,0)),0)</f>
        <v>15</v>
      </c>
      <c r="N134" s="43" t="str">
        <f t="shared" si="19"/>
        <v>2.支出</v>
      </c>
      <c r="O134" s="44" t="str">
        <f t="shared" si="18"/>
        <v>15(水)</v>
      </c>
      <c r="P134" s="29"/>
    </row>
    <row r="135" spans="1:16" ht="18.75">
      <c r="A135" s="3">
        <f t="shared" si="16"/>
      </c>
      <c r="B135" s="18">
        <f>IF('予定入力'!B7="","",'予定入力'!B7)</f>
      </c>
      <c r="C135" s="18"/>
      <c r="D135" s="18"/>
      <c r="E135" s="18"/>
      <c r="F135" s="18"/>
      <c r="G135" s="5"/>
      <c r="H135" s="38" t="e">
        <f>VLOOKUP($B135,'取引リスト'!$A:$C,COLUMN('取引リスト'!B137),FALSE)</f>
        <v>#N/A</v>
      </c>
      <c r="I135" s="38" t="e">
        <f>VLOOKUP($B135,'取引リスト'!$A:$C,COLUMN('取引リスト'!C137),FALSE)</f>
        <v>#N/A</v>
      </c>
      <c r="J135" s="39">
        <f>_xlfn.IFERROR(INDEX('予定入力'!$B$1:$J$20,MATCH($B135,'予定入力'!$B$1:$B$20,0),MATCH($L135,'予定入力'!$B$1:$J$1,0)),0)</f>
        <v>0</v>
      </c>
      <c r="K135" s="40">
        <v>2018</v>
      </c>
      <c r="L135" s="41">
        <f aca="true" t="shared" si="20" ref="L135:L148">+L116+1</f>
        <v>8</v>
      </c>
      <c r="M135" s="42">
        <f>_xlfn.IFERROR(INDEX('予定入力'!$B$1:$J$20,MATCH($B135,'予定入力'!$B$1:$B$20,0),MATCH($M$1,'予定入力'!$B$1:$J$1,0)),0)</f>
        <v>0</v>
      </c>
      <c r="N135" s="43">
        <f t="shared" si="19"/>
      </c>
      <c r="O135" s="44" t="e">
        <f t="shared" si="18"/>
        <v>#VALUE!</v>
      </c>
      <c r="P135" s="29"/>
    </row>
    <row r="136" spans="1:16" ht="18.75">
      <c r="A136" s="3">
        <f t="shared" si="16"/>
        <v>43343</v>
      </c>
      <c r="B136" s="18" t="str">
        <f>IF('予定入力'!B8="","",'予定入力'!B8)</f>
        <v>西洞院不動産</v>
      </c>
      <c r="C136" s="18"/>
      <c r="D136" s="18"/>
      <c r="E136" s="18"/>
      <c r="F136" s="18"/>
      <c r="G136" s="5"/>
      <c r="H136" s="38" t="str">
        <f>VLOOKUP($B136,'取引リスト'!$A:$C,COLUMN('取引リスト'!B138),FALSE)</f>
        <v>地代家賃</v>
      </c>
      <c r="I136" s="38" t="str">
        <f>VLOOKUP($B136,'取引リスト'!$A:$C,COLUMN('取引リスト'!C138),FALSE)</f>
        <v>A.経常収支</v>
      </c>
      <c r="J136" s="39">
        <f>_xlfn.IFERROR(INDEX('予定入力'!$B$1:$J$20,MATCH($B136,'予定入力'!$B$1:$B$20,0),MATCH($L136,'予定入力'!$B$1:$J$1,0)),0)</f>
        <v>-250</v>
      </c>
      <c r="K136" s="40">
        <v>2018</v>
      </c>
      <c r="L136" s="41">
        <f t="shared" si="20"/>
        <v>8</v>
      </c>
      <c r="M136" s="42" t="str">
        <f>_xlfn.IFERROR(INDEX('予定入力'!$B$1:$J$20,MATCH($B136,'予定入力'!$B$1:$B$20,0),MATCH($M$1,'予定入力'!$B$1:$J$1,0)),0)</f>
        <v>末</v>
      </c>
      <c r="N136" s="43" t="str">
        <f t="shared" si="19"/>
        <v>2.支出</v>
      </c>
      <c r="O136" s="44" t="str">
        <f t="shared" si="18"/>
        <v>31(金)</v>
      </c>
      <c r="P136" s="29"/>
    </row>
    <row r="137" spans="1:16" ht="18.75">
      <c r="A137" s="3">
        <f t="shared" si="16"/>
        <v>43332</v>
      </c>
      <c r="B137" s="18" t="str">
        <f>IF('予定入力'!B9="","",'予定入力'!B9)</f>
        <v>従業員</v>
      </c>
      <c r="C137" s="18"/>
      <c r="D137" s="18"/>
      <c r="E137" s="18"/>
      <c r="F137" s="18"/>
      <c r="G137" s="5"/>
      <c r="H137" s="38" t="str">
        <f>VLOOKUP($B137,'取引リスト'!$A:$C,COLUMN('取引リスト'!B139),FALSE)</f>
        <v>人件費</v>
      </c>
      <c r="I137" s="38" t="str">
        <f>VLOOKUP($B137,'取引リスト'!$A:$C,COLUMN('取引リスト'!C139),FALSE)</f>
        <v>A.経常収支</v>
      </c>
      <c r="J137" s="39">
        <f>_xlfn.IFERROR(INDEX('予定入力'!$B$1:$J$20,MATCH($B137,'予定入力'!$B$1:$B$20,0),MATCH($L137,'予定入力'!$B$1:$J$1,0)),0)</f>
        <v>-900</v>
      </c>
      <c r="K137" s="40">
        <v>2018</v>
      </c>
      <c r="L137" s="41">
        <f t="shared" si="20"/>
        <v>8</v>
      </c>
      <c r="M137" s="42">
        <f>_xlfn.IFERROR(INDEX('予定入力'!$B$1:$J$20,MATCH($B137,'予定入力'!$B$1:$B$20,0),MATCH($M$1,'予定入力'!$B$1:$J$1,0)),0)</f>
        <v>20</v>
      </c>
      <c r="N137" s="43" t="str">
        <f t="shared" si="19"/>
        <v>2.支出</v>
      </c>
      <c r="O137" s="44" t="str">
        <f t="shared" si="18"/>
        <v>20(月)</v>
      </c>
      <c r="P137" s="29"/>
    </row>
    <row r="138" spans="1:16" ht="18.75">
      <c r="A138" s="3">
        <f t="shared" si="16"/>
        <v>43343</v>
      </c>
      <c r="B138" s="18" t="str">
        <f>IF('予定入力'!B10="","",'予定入力'!B10)</f>
        <v>役員報酬</v>
      </c>
      <c r="C138" s="18"/>
      <c r="D138" s="18"/>
      <c r="E138" s="18"/>
      <c r="F138" s="18"/>
      <c r="G138" s="5"/>
      <c r="H138" s="38" t="str">
        <f>VLOOKUP($B138,'取引リスト'!$A:$C,COLUMN('取引リスト'!B140),FALSE)</f>
        <v>人件費</v>
      </c>
      <c r="I138" s="38" t="str">
        <f>VLOOKUP($B138,'取引リスト'!$A:$C,COLUMN('取引リスト'!C140),FALSE)</f>
        <v>A.経常収支</v>
      </c>
      <c r="J138" s="39">
        <f>_xlfn.IFERROR(INDEX('予定入力'!$B$1:$J$20,MATCH($B138,'予定入力'!$B$1:$B$20,0),MATCH($L138,'予定入力'!$B$1:$J$1,0)),0)</f>
        <v>-500</v>
      </c>
      <c r="K138" s="40">
        <v>2018</v>
      </c>
      <c r="L138" s="41">
        <f t="shared" si="20"/>
        <v>8</v>
      </c>
      <c r="M138" s="42" t="str">
        <f>_xlfn.IFERROR(INDEX('予定入力'!$B$1:$J$20,MATCH($B138,'予定入力'!$B$1:$B$20,0),MATCH($M$1,'予定入力'!$B$1:$J$1,0)),0)</f>
        <v>末</v>
      </c>
      <c r="N138" s="43" t="str">
        <f t="shared" si="19"/>
        <v>2.支出</v>
      </c>
      <c r="O138" s="44" t="str">
        <f t="shared" si="18"/>
        <v>31(金)</v>
      </c>
      <c r="P138" s="29"/>
    </row>
    <row r="139" spans="1:16" ht="18.75">
      <c r="A139" s="3">
        <f t="shared" si="16"/>
      </c>
      <c r="B139" s="18">
        <f>IF('予定入力'!B11="","",'予定入力'!B11)</f>
      </c>
      <c r="C139" s="18"/>
      <c r="D139" s="18"/>
      <c r="E139" s="18"/>
      <c r="F139" s="18"/>
      <c r="G139" s="5"/>
      <c r="H139" s="38" t="e">
        <f>VLOOKUP($B139,'取引リスト'!$A:$C,COLUMN('取引リスト'!B141),FALSE)</f>
        <v>#N/A</v>
      </c>
      <c r="I139" s="38" t="e">
        <f>VLOOKUP($B139,'取引リスト'!$A:$C,COLUMN('取引リスト'!C141),FALSE)</f>
        <v>#N/A</v>
      </c>
      <c r="J139" s="39">
        <f>_xlfn.IFERROR(INDEX('予定入力'!$B$1:$J$20,MATCH($B139,'予定入力'!$B$1:$B$20,0),MATCH($L139,'予定入力'!$B$1:$J$1,0)),0)</f>
        <v>0</v>
      </c>
      <c r="K139" s="40">
        <v>2018</v>
      </c>
      <c r="L139" s="41">
        <f t="shared" si="20"/>
        <v>8</v>
      </c>
      <c r="M139" s="42">
        <f>_xlfn.IFERROR(INDEX('予定入力'!$B$1:$J$20,MATCH($B139,'予定入力'!$B$1:$B$20,0),MATCH($M$1,'予定入力'!$B$1:$J$1,0)),0)</f>
        <v>0</v>
      </c>
      <c r="N139" s="43">
        <f t="shared" si="19"/>
      </c>
      <c r="O139" s="44" t="e">
        <f t="shared" si="18"/>
        <v>#VALUE!</v>
      </c>
      <c r="P139" s="29"/>
    </row>
    <row r="140" spans="1:16" ht="18.75">
      <c r="A140" s="3">
        <f t="shared" si="16"/>
      </c>
      <c r="B140" s="18" t="str">
        <f>IF('予定入力'!B12="","",'予定入力'!B12)</f>
        <v>役員借入</v>
      </c>
      <c r="C140" s="18"/>
      <c r="D140" s="18"/>
      <c r="E140" s="18"/>
      <c r="F140" s="18"/>
      <c r="G140" s="5"/>
      <c r="H140" s="38" t="str">
        <f>VLOOKUP($B140,'取引リスト'!$A:$C,COLUMN('取引リスト'!B142),FALSE)</f>
        <v>役員借入</v>
      </c>
      <c r="I140" s="38" t="str">
        <f>VLOOKUP($B140,'取引リスト'!$A:$C,COLUMN('取引リスト'!C142),FALSE)</f>
        <v>C.財務収支</v>
      </c>
      <c r="J140" s="39">
        <f>_xlfn.IFERROR(INDEX('予定入力'!$B$1:$J$20,MATCH($B140,'予定入力'!$B$1:$B$20,0),MATCH($L140,'予定入力'!$B$1:$J$1,0)),0)</f>
        <v>0</v>
      </c>
      <c r="K140" s="40">
        <v>2018</v>
      </c>
      <c r="L140" s="41">
        <f t="shared" si="20"/>
        <v>8</v>
      </c>
      <c r="M140" s="42">
        <f>_xlfn.IFERROR(INDEX('予定入力'!$B$1:$J$20,MATCH($B140,'予定入力'!$B$1:$B$20,0),MATCH($M$1,'予定入力'!$B$1:$J$1,0)),0)</f>
        <v>0</v>
      </c>
      <c r="N140" s="43">
        <f t="shared" si="19"/>
      </c>
      <c r="O140" s="44" t="e">
        <f t="shared" si="18"/>
        <v>#VALUE!</v>
      </c>
      <c r="P140" s="29"/>
    </row>
    <row r="141" spans="1:16" ht="18.75">
      <c r="A141" s="3">
        <f t="shared" si="16"/>
        <v>43313</v>
      </c>
      <c r="B141" s="18" t="str">
        <f>IF('予定入力'!B13="","",'予定入力'!B13)</f>
        <v>役員返済</v>
      </c>
      <c r="C141" s="18"/>
      <c r="D141" s="18"/>
      <c r="E141" s="18"/>
      <c r="F141" s="18"/>
      <c r="G141" s="5"/>
      <c r="H141" s="38" t="str">
        <f>VLOOKUP($B141,'取引リスト'!$A:$C,COLUMN('取引リスト'!B143),FALSE)</f>
        <v>役員返済</v>
      </c>
      <c r="I141" s="38" t="str">
        <f>VLOOKUP($B141,'取引リスト'!$A:$C,COLUMN('取引リスト'!C143),FALSE)</f>
        <v>C.財務収支</v>
      </c>
      <c r="J141" s="39">
        <f>_xlfn.IFERROR(INDEX('予定入力'!$B$1:$J$20,MATCH($B141,'予定入力'!$B$1:$B$20,0),MATCH($L141,'予定入力'!$B$1:$J$1,0)),0)</f>
        <v>0</v>
      </c>
      <c r="K141" s="40">
        <v>2018</v>
      </c>
      <c r="L141" s="41">
        <f t="shared" si="20"/>
        <v>8</v>
      </c>
      <c r="M141" s="42">
        <f>_xlfn.IFERROR(INDEX('予定入力'!$B$1:$J$20,MATCH($B141,'予定入力'!$B$1:$B$20,0),MATCH($M$1,'予定入力'!$B$1:$J$1,0)),0)</f>
        <v>1</v>
      </c>
      <c r="N141" s="43">
        <f t="shared" si="19"/>
      </c>
      <c r="O141" s="44" t="str">
        <f t="shared" si="18"/>
        <v>01(水)</v>
      </c>
      <c r="P141" s="29"/>
    </row>
    <row r="142" spans="1:16" ht="18.75">
      <c r="A142" s="3">
        <f t="shared" si="16"/>
        <v>43317</v>
      </c>
      <c r="B142" s="18" t="str">
        <f>IF('予定入力'!B14="","",'予定入力'!B14)</f>
        <v>堀川銀行借入</v>
      </c>
      <c r="C142" s="18"/>
      <c r="D142" s="18"/>
      <c r="E142" s="18"/>
      <c r="F142" s="18"/>
      <c r="G142" s="5"/>
      <c r="H142" s="38" t="str">
        <f>VLOOKUP($B142,'取引リスト'!$A:$C,COLUMN('取引リスト'!B144),FALSE)</f>
        <v>銀行借入</v>
      </c>
      <c r="I142" s="38" t="str">
        <f>VLOOKUP($B142,'取引リスト'!$A:$C,COLUMN('取引リスト'!C144),FALSE)</f>
        <v>C.財務収支</v>
      </c>
      <c r="J142" s="39">
        <f>_xlfn.IFERROR(INDEX('予定入力'!$B$1:$J$20,MATCH($B142,'予定入力'!$B$1:$B$20,0),MATCH($L142,'予定入力'!$B$1:$J$1,0)),0)</f>
        <v>0</v>
      </c>
      <c r="K142" s="40">
        <v>2018</v>
      </c>
      <c r="L142" s="41">
        <f t="shared" si="20"/>
        <v>8</v>
      </c>
      <c r="M142" s="42">
        <f>_xlfn.IFERROR(INDEX('予定入力'!$B$1:$J$20,MATCH($B142,'予定入力'!$B$1:$B$20,0),MATCH($M$1,'予定入力'!$B$1:$J$1,0)),0)</f>
        <v>5</v>
      </c>
      <c r="N142" s="43">
        <f t="shared" si="19"/>
      </c>
      <c r="O142" s="44" t="str">
        <f t="shared" si="18"/>
        <v>05(日)</v>
      </c>
      <c r="P142" s="29"/>
    </row>
    <row r="143" spans="1:16" ht="18.75">
      <c r="A143" s="3">
        <f t="shared" si="16"/>
        <v>43322</v>
      </c>
      <c r="B143" s="18" t="str">
        <f>IF('予定入力'!B15="","",'予定入力'!B15)</f>
        <v>堀川銀行利息</v>
      </c>
      <c r="C143" s="18"/>
      <c r="D143" s="18"/>
      <c r="E143" s="18"/>
      <c r="F143" s="18"/>
      <c r="G143" s="5"/>
      <c r="H143" s="38" t="str">
        <f>VLOOKUP($B143,'取引リスト'!$A:$C,COLUMN('取引リスト'!B145),FALSE)</f>
        <v>その他経費</v>
      </c>
      <c r="I143" s="38" t="str">
        <f>VLOOKUP($B143,'取引リスト'!$A:$C,COLUMN('取引リスト'!C145),FALSE)</f>
        <v>A.経常収支</v>
      </c>
      <c r="J143" s="39">
        <f>_xlfn.IFERROR(INDEX('予定入力'!$B$1:$J$20,MATCH($B143,'予定入力'!$B$1:$B$20,0),MATCH($L143,'予定入力'!$B$1:$J$1,0)),0)</f>
        <v>0</v>
      </c>
      <c r="K143" s="40">
        <v>2018</v>
      </c>
      <c r="L143" s="41">
        <f t="shared" si="20"/>
        <v>8</v>
      </c>
      <c r="M143" s="42">
        <f>_xlfn.IFERROR(INDEX('予定入力'!$B$1:$J$20,MATCH($B143,'予定入力'!$B$1:$B$20,0),MATCH($M$1,'予定入力'!$B$1:$J$1,0)),0)</f>
        <v>10</v>
      </c>
      <c r="N143" s="43">
        <f t="shared" si="19"/>
      </c>
      <c r="O143" s="44" t="str">
        <f t="shared" si="18"/>
        <v>10(金)</v>
      </c>
      <c r="P143" s="29"/>
    </row>
    <row r="144" spans="1:16" ht="18.75">
      <c r="A144" s="3">
        <f t="shared" si="16"/>
        <v>43322</v>
      </c>
      <c r="B144" s="18" t="str">
        <f>IF('予定入力'!B16="","",'予定入力'!B16)</f>
        <v>堀川銀行返済</v>
      </c>
      <c r="C144" s="18"/>
      <c r="D144" s="18"/>
      <c r="E144" s="18"/>
      <c r="F144" s="18"/>
      <c r="G144" s="5"/>
      <c r="H144" s="38" t="str">
        <f>VLOOKUP($B144,'取引リスト'!$A:$C,COLUMN('取引リスト'!B146),FALSE)</f>
        <v>銀行返済</v>
      </c>
      <c r="I144" s="38" t="str">
        <f>VLOOKUP($B144,'取引リスト'!$A:$C,COLUMN('取引リスト'!C146),FALSE)</f>
        <v>C.財務収支</v>
      </c>
      <c r="J144" s="39">
        <f>_xlfn.IFERROR(INDEX('予定入力'!$B$1:$J$20,MATCH($B144,'予定入力'!$B$1:$B$20,0),MATCH($L144,'予定入力'!$B$1:$J$1,0)),0)</f>
        <v>0</v>
      </c>
      <c r="K144" s="40">
        <v>2018</v>
      </c>
      <c r="L144" s="41">
        <f t="shared" si="20"/>
        <v>8</v>
      </c>
      <c r="M144" s="42">
        <f>_xlfn.IFERROR(INDEX('予定入力'!$B$1:$J$20,MATCH($B144,'予定入力'!$B$1:$B$20,0),MATCH($M$1,'予定入力'!$B$1:$J$1,0)),0)</f>
        <v>10</v>
      </c>
      <c r="N144" s="43">
        <f t="shared" si="19"/>
      </c>
      <c r="O144" s="44" t="str">
        <f t="shared" si="18"/>
        <v>10(金)</v>
      </c>
      <c r="P144" s="29"/>
    </row>
    <row r="145" spans="1:16" ht="18.75">
      <c r="A145" s="3">
        <f>IF(M145=0,"",IF(M145="末",EDATE(DATE(K145,L145,1),1)-1,DATE(K145,L145,M145)))</f>
      </c>
      <c r="B145" s="18">
        <f>IF('予定入力'!B17="","",'予定入力'!B17)</f>
      </c>
      <c r="C145" s="18"/>
      <c r="D145" s="18"/>
      <c r="E145" s="18"/>
      <c r="F145" s="18"/>
      <c r="G145" s="5"/>
      <c r="H145" s="38" t="e">
        <f>VLOOKUP($B145,'取引リスト'!$A:$C,COLUMN('取引リスト'!B147),FALSE)</f>
        <v>#N/A</v>
      </c>
      <c r="I145" s="38" t="e">
        <f>VLOOKUP($B145,'取引リスト'!$A:$C,COLUMN('取引リスト'!C147),FALSE)</f>
        <v>#N/A</v>
      </c>
      <c r="J145" s="39">
        <f>_xlfn.IFERROR(INDEX('予定入力'!$B$1:$J$20,MATCH($B145,'予定入力'!$B$1:$B$20,0),MATCH($L145,'予定入力'!$B$1:$J$1,0)),0)</f>
        <v>0</v>
      </c>
      <c r="K145" s="40">
        <v>2018</v>
      </c>
      <c r="L145" s="41">
        <f t="shared" si="20"/>
        <v>8</v>
      </c>
      <c r="M145" s="42">
        <f>_xlfn.IFERROR(INDEX('予定入力'!$B$1:$J$20,MATCH($B145,'予定入力'!$B$1:$B$20,0),MATCH($M$1,'予定入力'!$B$1:$J$1,0)),0)</f>
        <v>0</v>
      </c>
      <c r="N145" s="43">
        <f t="shared" si="19"/>
      </c>
      <c r="O145" s="44" t="e">
        <f t="shared" si="18"/>
        <v>#VALUE!</v>
      </c>
      <c r="P145" s="29"/>
    </row>
    <row r="146" spans="1:16" ht="18.75">
      <c r="A146" s="3">
        <f>IF(M146=0,"",IF(M146="末",EDATE(DATE(K146,L146,1),1)-1,DATE(K146,L146,M146)))</f>
        <v>43317</v>
      </c>
      <c r="B146" s="18" t="str">
        <f>IF('予定入力'!B18="","",'予定入力'!B18)</f>
        <v>四条工務店</v>
      </c>
      <c r="C146" s="18"/>
      <c r="D146" s="18"/>
      <c r="E146" s="18"/>
      <c r="F146" s="18"/>
      <c r="G146" s="5"/>
      <c r="H146" s="38" t="str">
        <f>VLOOKUP($B146,'取引リスト'!$A:$C,COLUMN('取引リスト'!B148),FALSE)</f>
        <v>固定資産</v>
      </c>
      <c r="I146" s="38" t="str">
        <f>VLOOKUP($B146,'取引リスト'!$A:$C,COLUMN('取引リスト'!C148),FALSE)</f>
        <v>B.非経常収支</v>
      </c>
      <c r="J146" s="39">
        <f>_xlfn.IFERROR(INDEX('予定入力'!$B$1:$J$20,MATCH($B146,'予定入力'!$B$1:$B$20,0),MATCH($L146,'予定入力'!$B$1:$J$1,0)),0)</f>
        <v>0</v>
      </c>
      <c r="K146" s="40">
        <v>2018</v>
      </c>
      <c r="L146" s="41">
        <f t="shared" si="20"/>
        <v>8</v>
      </c>
      <c r="M146" s="42">
        <f>_xlfn.IFERROR(INDEX('予定入力'!$B$1:$J$20,MATCH($B146,'予定入力'!$B$1:$B$20,0),MATCH($M$1,'予定入力'!$B$1:$J$1,0)),0)</f>
        <v>5</v>
      </c>
      <c r="N146" s="43">
        <f t="shared" si="19"/>
      </c>
      <c r="O146" s="44" t="str">
        <f t="shared" si="18"/>
        <v>05(日)</v>
      </c>
      <c r="P146" s="29"/>
    </row>
    <row r="147" spans="1:16" ht="18.75">
      <c r="A147" s="3">
        <f>IF(M147=0,"",IF(M147="末",EDATE(DATE(K147,L147,1),1)-1,DATE(K147,L147,M147)))</f>
      </c>
      <c r="B147" s="18">
        <f>IF('予定入力'!B19="","",'予定入力'!B19)</f>
      </c>
      <c r="C147" s="18"/>
      <c r="D147" s="18"/>
      <c r="E147" s="18"/>
      <c r="F147" s="18"/>
      <c r="G147" s="5"/>
      <c r="H147" s="38" t="e">
        <f>VLOOKUP($B147,'取引リスト'!$A:$C,COLUMN('取引リスト'!B149),FALSE)</f>
        <v>#N/A</v>
      </c>
      <c r="I147" s="38" t="e">
        <f>VLOOKUP($B147,'取引リスト'!$A:$C,COLUMN('取引リスト'!C149),FALSE)</f>
        <v>#N/A</v>
      </c>
      <c r="J147" s="39">
        <f>_xlfn.IFERROR(INDEX('予定入力'!$B$1:$J$20,MATCH($B147,'予定入力'!$B$1:$B$20,0),MATCH($L147,'予定入力'!$B$1:$J$1,0)),0)</f>
        <v>0</v>
      </c>
      <c r="K147" s="40">
        <v>2018</v>
      </c>
      <c r="L147" s="41">
        <f t="shared" si="20"/>
        <v>8</v>
      </c>
      <c r="M147" s="42">
        <f>_xlfn.IFERROR(INDEX('予定入力'!$B$1:$J$20,MATCH($B147,'予定入力'!$B$1:$B$20,0),MATCH($M$1,'予定入力'!$B$1:$J$1,0)),0)</f>
        <v>0</v>
      </c>
      <c r="N147" s="43">
        <f t="shared" si="19"/>
      </c>
      <c r="O147" s="44" t="e">
        <f t="shared" si="18"/>
        <v>#VALUE!</v>
      </c>
      <c r="P147" s="29"/>
    </row>
    <row r="148" spans="1:16" ht="18.75">
      <c r="A148" s="3">
        <f>IF(M148=0,"",IF(M148="末",EDATE(DATE(K148,L148,1),1)-1,DATE(K148,L148,M148)))</f>
      </c>
      <c r="B148" s="18">
        <f>IF('予定入力'!B20="","",'予定入力'!B20)</f>
      </c>
      <c r="C148" s="18"/>
      <c r="D148" s="18"/>
      <c r="E148" s="18"/>
      <c r="F148" s="18"/>
      <c r="G148" s="5"/>
      <c r="H148" s="38" t="e">
        <f>VLOOKUP($B148,'取引リスト'!$A:$C,COLUMN('取引リスト'!B150),FALSE)</f>
        <v>#N/A</v>
      </c>
      <c r="I148" s="38" t="e">
        <f>VLOOKUP($B148,'取引リスト'!$A:$C,COLUMN('取引リスト'!C150),FALSE)</f>
        <v>#N/A</v>
      </c>
      <c r="J148" s="39">
        <f>_xlfn.IFERROR(INDEX('予定入力'!$B$1:$J$20,MATCH($B148,'予定入力'!$B$1:$B$20,0),MATCH($L148,'予定入力'!$B$1:$J$1,0)),0)</f>
        <v>0</v>
      </c>
      <c r="K148" s="40">
        <v>2018</v>
      </c>
      <c r="L148" s="41">
        <f t="shared" si="20"/>
        <v>8</v>
      </c>
      <c r="M148" s="42">
        <f>_xlfn.IFERROR(INDEX('予定入力'!$B$1:$J$20,MATCH($B148,'予定入力'!$B$1:$B$20,0),MATCH($M$1,'予定入力'!$B$1:$J$1,0)),0)</f>
        <v>0</v>
      </c>
      <c r="N148" s="43">
        <f t="shared" si="19"/>
      </c>
      <c r="O148" s="44" t="e">
        <f t="shared" si="18"/>
        <v>#VALUE!</v>
      </c>
      <c r="P148" s="29"/>
    </row>
    <row r="149" spans="10:16" ht="18.75">
      <c r="J149"/>
      <c r="K149"/>
      <c r="L149"/>
      <c r="M149"/>
      <c r="N149"/>
      <c r="P149"/>
    </row>
    <row r="150" spans="10:16" ht="18.75">
      <c r="J150"/>
      <c r="K150"/>
      <c r="L150"/>
      <c r="M150"/>
      <c r="N150"/>
      <c r="P150"/>
    </row>
    <row r="151" spans="10:16" ht="18.75">
      <c r="J151"/>
      <c r="K151"/>
      <c r="L151"/>
      <c r="M151"/>
      <c r="N151"/>
      <c r="P151"/>
    </row>
    <row r="152" spans="10:16" ht="18.75">
      <c r="J152"/>
      <c r="K152"/>
      <c r="L152"/>
      <c r="M152"/>
      <c r="N152"/>
      <c r="P152"/>
    </row>
    <row r="153" spans="10:16" ht="18.75">
      <c r="J153"/>
      <c r="K153"/>
      <c r="L153"/>
      <c r="M153"/>
      <c r="N153"/>
      <c r="P153"/>
    </row>
    <row r="154" spans="10:16" ht="18.75">
      <c r="J154"/>
      <c r="K154"/>
      <c r="L154"/>
      <c r="M154"/>
      <c r="N154"/>
      <c r="P154"/>
    </row>
    <row r="155" spans="10:16" ht="18.75">
      <c r="J155"/>
      <c r="K155"/>
      <c r="L155"/>
      <c r="M155"/>
      <c r="N155"/>
      <c r="P155"/>
    </row>
    <row r="156" spans="10:16" ht="18.75">
      <c r="J156"/>
      <c r="K156"/>
      <c r="L156"/>
      <c r="M156"/>
      <c r="N156"/>
      <c r="P156"/>
    </row>
    <row r="157" spans="10:16" ht="18.75">
      <c r="J157"/>
      <c r="K157"/>
      <c r="L157"/>
      <c r="M157"/>
      <c r="N157"/>
      <c r="P157"/>
    </row>
    <row r="158" spans="10:16" ht="18.75">
      <c r="J158"/>
      <c r="K158"/>
      <c r="L158"/>
      <c r="M158"/>
      <c r="N158"/>
      <c r="P158"/>
    </row>
  </sheetData>
  <sheetProtection/>
  <conditionalFormatting sqref="A1:G148 A159:G199">
    <cfRule type="expression" priority="40" dxfId="12">
      <formula>$H1="売上(現金)"</formula>
    </cfRule>
    <cfRule type="expression" priority="41" dxfId="13">
      <formula>$H1="仕入"</formula>
    </cfRule>
    <cfRule type="expression" priority="42" dxfId="12">
      <formula>$H1="売上(手形)"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7.421875" style="0" bestFit="1" customWidth="1"/>
    <col min="2" max="2" width="17.7109375" style="0" bestFit="1" customWidth="1"/>
    <col min="3" max="7" width="0" style="0" hidden="1" customWidth="1"/>
    <col min="8" max="8" width="9.421875" style="0" bestFit="1" customWidth="1"/>
    <col min="9" max="9" width="11.140625" style="0" bestFit="1" customWidth="1"/>
    <col min="10" max="10" width="10.00390625" style="0" bestFit="1" customWidth="1"/>
    <col min="11" max="11" width="5.421875" style="0" bestFit="1" customWidth="1"/>
    <col min="12" max="12" width="4.421875" style="0" bestFit="1" customWidth="1"/>
    <col min="13" max="13" width="4.00390625" style="0" bestFit="1" customWidth="1"/>
    <col min="14" max="14" width="6.7109375" style="0" bestFit="1" customWidth="1"/>
    <col min="15" max="15" width="9.421875" style="0" bestFit="1" customWidth="1"/>
    <col min="16" max="16" width="11.421875" style="0" customWidth="1"/>
  </cols>
  <sheetData>
    <row r="1" spans="1:16" ht="18.75">
      <c r="A1" s="1" t="s">
        <v>0</v>
      </c>
      <c r="B1" s="1" t="s">
        <v>26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6" t="s">
        <v>47</v>
      </c>
      <c r="I1" s="36" t="s">
        <v>25</v>
      </c>
      <c r="J1" s="11" t="s">
        <v>43</v>
      </c>
      <c r="K1" s="11" t="s">
        <v>109</v>
      </c>
      <c r="L1" s="11" t="s">
        <v>44</v>
      </c>
      <c r="M1" s="11" t="s">
        <v>45</v>
      </c>
      <c r="N1" s="11" t="s">
        <v>60</v>
      </c>
      <c r="O1" s="11" t="s">
        <v>122</v>
      </c>
      <c r="P1" s="46" t="s">
        <v>127</v>
      </c>
    </row>
    <row r="2" spans="1:16" ht="18.75">
      <c r="A2" s="3">
        <v>43160</v>
      </c>
      <c r="B2" s="3" t="s">
        <v>131</v>
      </c>
      <c r="C2" s="4"/>
      <c r="D2" s="5"/>
      <c r="E2" s="5"/>
      <c r="F2" s="5"/>
      <c r="G2" s="5"/>
      <c r="H2" s="38" t="s">
        <v>132</v>
      </c>
      <c r="I2" s="38" t="s">
        <v>67</v>
      </c>
      <c r="J2" s="39">
        <v>500000</v>
      </c>
      <c r="K2" s="48">
        <f>YEAR(A2)</f>
        <v>2018</v>
      </c>
      <c r="L2" s="41">
        <f>MONTH(A2)</f>
        <v>3</v>
      </c>
      <c r="M2" s="42">
        <f>DAY(A2)</f>
        <v>1</v>
      </c>
      <c r="N2" s="14" t="str">
        <f aca="true" t="shared" si="0" ref="N2:N9">IF(J2=0,"",IF(J2&gt;0,"1.収入","2.支出"))</f>
        <v>1.収入</v>
      </c>
      <c r="O2" s="33" t="str">
        <f aca="true" t="shared" si="1" ref="O2:O9">TEXT(DAY(A2),"00")&amp;"("&amp;TEXT(A2,"aaa")&amp;")"</f>
        <v>01(木)</v>
      </c>
      <c r="P2" t="s">
        <v>128</v>
      </c>
    </row>
    <row r="3" spans="1:16" ht="18.75">
      <c r="A3" s="3">
        <v>43169</v>
      </c>
      <c r="B3" s="3" t="s">
        <v>135</v>
      </c>
      <c r="C3" s="4"/>
      <c r="D3" s="5"/>
      <c r="E3" s="5"/>
      <c r="F3" s="5"/>
      <c r="G3" s="5"/>
      <c r="H3" s="38" t="s">
        <v>82</v>
      </c>
      <c r="I3" s="38" t="s">
        <v>69</v>
      </c>
      <c r="J3" s="39">
        <v>-500000</v>
      </c>
      <c r="K3" s="48">
        <f aca="true" t="shared" si="2" ref="K3:K9">YEAR(A3)</f>
        <v>2018</v>
      </c>
      <c r="L3" s="41">
        <f aca="true" t="shared" si="3" ref="L3:L9">MONTH(A3)</f>
        <v>3</v>
      </c>
      <c r="M3" s="42">
        <f aca="true" t="shared" si="4" ref="M3:M9">DAY(A3)</f>
        <v>10</v>
      </c>
      <c r="N3" s="14" t="str">
        <f t="shared" si="0"/>
        <v>2.支出</v>
      </c>
      <c r="O3" s="33" t="str">
        <f t="shared" si="1"/>
        <v>10(土)</v>
      </c>
      <c r="P3" t="s">
        <v>128</v>
      </c>
    </row>
    <row r="4" spans="1:16" ht="18.75">
      <c r="A4" s="3">
        <v>42814</v>
      </c>
      <c r="B4" s="3" t="s">
        <v>135</v>
      </c>
      <c r="C4" s="4"/>
      <c r="D4" s="5"/>
      <c r="E4" s="5"/>
      <c r="F4" s="5"/>
      <c r="G4" s="5"/>
      <c r="H4" s="38" t="s">
        <v>113</v>
      </c>
      <c r="I4" s="38" t="s">
        <v>65</v>
      </c>
      <c r="J4" s="39">
        <v>100000</v>
      </c>
      <c r="K4" s="48">
        <f t="shared" si="2"/>
        <v>2017</v>
      </c>
      <c r="L4" s="41">
        <f t="shared" si="3"/>
        <v>3</v>
      </c>
      <c r="M4" s="42">
        <f t="shared" si="4"/>
        <v>20</v>
      </c>
      <c r="N4" s="14" t="str">
        <f t="shared" si="0"/>
        <v>1.収入</v>
      </c>
      <c r="O4" s="33" t="str">
        <f t="shared" si="1"/>
        <v>20(月)</v>
      </c>
      <c r="P4" t="s">
        <v>128</v>
      </c>
    </row>
    <row r="5" spans="1:16" ht="18.75">
      <c r="A5" s="3">
        <f>EDATE(A4,1)</f>
        <v>42845</v>
      </c>
      <c r="B5" s="3" t="s">
        <v>135</v>
      </c>
      <c r="C5" s="4"/>
      <c r="D5" s="5"/>
      <c r="E5" s="5"/>
      <c r="F5" s="5"/>
      <c r="G5" s="5"/>
      <c r="H5" s="38" t="s">
        <v>113</v>
      </c>
      <c r="I5" s="38" t="s">
        <v>65</v>
      </c>
      <c r="J5" s="39">
        <v>100000</v>
      </c>
      <c r="K5" s="48">
        <f t="shared" si="2"/>
        <v>2017</v>
      </c>
      <c r="L5" s="41">
        <f t="shared" si="3"/>
        <v>4</v>
      </c>
      <c r="M5" s="42">
        <f t="shared" si="4"/>
        <v>20</v>
      </c>
      <c r="N5" s="14" t="str">
        <f t="shared" si="0"/>
        <v>1.収入</v>
      </c>
      <c r="O5" s="33" t="str">
        <f t="shared" si="1"/>
        <v>20(木)</v>
      </c>
      <c r="P5" t="s">
        <v>128</v>
      </c>
    </row>
    <row r="6" spans="1:16" ht="18.75">
      <c r="A6" s="3">
        <f>EDATE(A5,1)</f>
        <v>42875</v>
      </c>
      <c r="B6" s="3" t="s">
        <v>135</v>
      </c>
      <c r="C6" s="4"/>
      <c r="D6" s="5"/>
      <c r="E6" s="5"/>
      <c r="F6" s="5"/>
      <c r="G6" s="5"/>
      <c r="H6" s="38" t="s">
        <v>113</v>
      </c>
      <c r="I6" s="38" t="s">
        <v>65</v>
      </c>
      <c r="J6" s="39">
        <v>100000</v>
      </c>
      <c r="K6" s="48">
        <f t="shared" si="2"/>
        <v>2017</v>
      </c>
      <c r="L6" s="41">
        <f t="shared" si="3"/>
        <v>5</v>
      </c>
      <c r="M6" s="42">
        <f t="shared" si="4"/>
        <v>20</v>
      </c>
      <c r="N6" s="14" t="str">
        <f t="shared" si="0"/>
        <v>1.収入</v>
      </c>
      <c r="O6" s="33" t="str">
        <f t="shared" si="1"/>
        <v>20(土)</v>
      </c>
      <c r="P6" t="s">
        <v>128</v>
      </c>
    </row>
    <row r="7" spans="1:16" ht="18.75">
      <c r="A7" s="3">
        <f>EDATE(A6,1)</f>
        <v>42906</v>
      </c>
      <c r="B7" s="3" t="s">
        <v>135</v>
      </c>
      <c r="C7" s="4"/>
      <c r="D7" s="5"/>
      <c r="E7" s="5"/>
      <c r="F7" s="5"/>
      <c r="G7" s="5"/>
      <c r="H7" s="38" t="s">
        <v>113</v>
      </c>
      <c r="I7" s="38" t="s">
        <v>65</v>
      </c>
      <c r="J7" s="39">
        <v>100000</v>
      </c>
      <c r="K7" s="48">
        <f t="shared" si="2"/>
        <v>2017</v>
      </c>
      <c r="L7" s="41">
        <f t="shared" si="3"/>
        <v>6</v>
      </c>
      <c r="M7" s="42">
        <f t="shared" si="4"/>
        <v>20</v>
      </c>
      <c r="N7" s="14" t="str">
        <f t="shared" si="0"/>
        <v>1.収入</v>
      </c>
      <c r="O7" s="33" t="str">
        <f t="shared" si="1"/>
        <v>20(火)</v>
      </c>
      <c r="P7" t="s">
        <v>128</v>
      </c>
    </row>
    <row r="8" spans="1:16" ht="18.75">
      <c r="A8" s="3">
        <f>EDATE(A7,1)</f>
        <v>42936</v>
      </c>
      <c r="B8" s="3" t="s">
        <v>135</v>
      </c>
      <c r="C8" s="4"/>
      <c r="D8" s="5"/>
      <c r="E8" s="5"/>
      <c r="F8" s="5"/>
      <c r="G8" s="5"/>
      <c r="H8" s="38" t="s">
        <v>113</v>
      </c>
      <c r="I8" s="38" t="s">
        <v>65</v>
      </c>
      <c r="J8" s="39">
        <v>100000</v>
      </c>
      <c r="K8" s="48">
        <f t="shared" si="2"/>
        <v>2017</v>
      </c>
      <c r="L8" s="41">
        <f t="shared" si="3"/>
        <v>7</v>
      </c>
      <c r="M8" s="42">
        <f t="shared" si="4"/>
        <v>20</v>
      </c>
      <c r="N8" s="14" t="str">
        <f t="shared" si="0"/>
        <v>1.収入</v>
      </c>
      <c r="O8" s="33" t="str">
        <f t="shared" si="1"/>
        <v>20(木)</v>
      </c>
      <c r="P8" t="s">
        <v>128</v>
      </c>
    </row>
    <row r="9" spans="1:16" ht="18.75">
      <c r="A9" s="3">
        <f>EDATE(A8,1)</f>
        <v>42967</v>
      </c>
      <c r="B9" s="3" t="s">
        <v>135</v>
      </c>
      <c r="C9" s="4"/>
      <c r="D9" s="5"/>
      <c r="E9" s="5"/>
      <c r="F9" s="5"/>
      <c r="G9" s="5"/>
      <c r="H9" s="38" t="s">
        <v>113</v>
      </c>
      <c r="I9" s="38" t="s">
        <v>65</v>
      </c>
      <c r="J9" s="39">
        <v>100000</v>
      </c>
      <c r="K9" s="48">
        <f t="shared" si="2"/>
        <v>2017</v>
      </c>
      <c r="L9" s="41">
        <f t="shared" si="3"/>
        <v>8</v>
      </c>
      <c r="M9" s="42">
        <f t="shared" si="4"/>
        <v>20</v>
      </c>
      <c r="N9" s="14" t="str">
        <f t="shared" si="0"/>
        <v>1.収入</v>
      </c>
      <c r="O9" s="33" t="str">
        <f t="shared" si="1"/>
        <v>20(日)</v>
      </c>
      <c r="P9" t="s">
        <v>128</v>
      </c>
    </row>
  </sheetData>
  <sheetProtection/>
  <conditionalFormatting sqref="A2:G4">
    <cfRule type="expression" priority="19" dxfId="12">
      <formula>$H2="売上(現金)"</formula>
    </cfRule>
    <cfRule type="expression" priority="20" dxfId="13">
      <formula>$H2="仕入"</formula>
    </cfRule>
    <cfRule type="expression" priority="21" dxfId="12">
      <formula>$H2="売上(手形)"</formula>
    </cfRule>
  </conditionalFormatting>
  <conditionalFormatting sqref="A1:G1">
    <cfRule type="expression" priority="16" dxfId="12">
      <formula>$H1="売上(現金)"</formula>
    </cfRule>
    <cfRule type="expression" priority="17" dxfId="13">
      <formula>$H1="仕入"</formula>
    </cfRule>
    <cfRule type="expression" priority="18" dxfId="12">
      <formula>$H1="売上(手形)"</formula>
    </cfRule>
  </conditionalFormatting>
  <conditionalFormatting sqref="A5:G5 A5:A9">
    <cfRule type="expression" priority="13" dxfId="12">
      <formula>$H5="売上(現金)"</formula>
    </cfRule>
    <cfRule type="expression" priority="14" dxfId="13">
      <formula>$H5="仕入"</formula>
    </cfRule>
    <cfRule type="expression" priority="15" dxfId="12">
      <formula>$H5="売上(手形)"</formula>
    </cfRule>
  </conditionalFormatting>
  <conditionalFormatting sqref="A6:G6">
    <cfRule type="expression" priority="10" dxfId="12">
      <formula>$H6="売上(現金)"</formula>
    </cfRule>
    <cfRule type="expression" priority="11" dxfId="13">
      <formula>$H6="仕入"</formula>
    </cfRule>
    <cfRule type="expression" priority="12" dxfId="12">
      <formula>$H6="売上(手形)"</formula>
    </cfRule>
  </conditionalFormatting>
  <conditionalFormatting sqref="A7:G7">
    <cfRule type="expression" priority="7" dxfId="12">
      <formula>$H7="売上(現金)"</formula>
    </cfRule>
    <cfRule type="expression" priority="8" dxfId="13">
      <formula>$H7="仕入"</formula>
    </cfRule>
    <cfRule type="expression" priority="9" dxfId="12">
      <formula>$H7="売上(手形)"</formula>
    </cfRule>
  </conditionalFormatting>
  <conditionalFormatting sqref="A8:G8">
    <cfRule type="expression" priority="4" dxfId="12">
      <formula>$H8="売上(現金)"</formula>
    </cfRule>
    <cfRule type="expression" priority="5" dxfId="13">
      <formula>$H8="仕入"</formula>
    </cfRule>
    <cfRule type="expression" priority="6" dxfId="12">
      <formula>$H8="売上(手形)"</formula>
    </cfRule>
  </conditionalFormatting>
  <conditionalFormatting sqref="A9:G9">
    <cfRule type="expression" priority="1" dxfId="12">
      <formula>$H9="売上(現金)"</formula>
    </cfRule>
    <cfRule type="expression" priority="2" dxfId="13">
      <formula>$H9="仕入"</formula>
    </cfRule>
    <cfRule type="expression" priority="3" dxfId="12">
      <formula>$H9="売上(手形)"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28125" style="0" bestFit="1" customWidth="1"/>
    <col min="2" max="2" width="13.00390625" style="0" bestFit="1" customWidth="1"/>
    <col min="3" max="3" width="3.421875" style="0" bestFit="1" customWidth="1"/>
    <col min="4" max="10" width="7.8515625" style="0" bestFit="1" customWidth="1"/>
  </cols>
  <sheetData>
    <row r="1" spans="2:10" ht="18.75">
      <c r="B1" s="18"/>
      <c r="C1" s="18" t="s">
        <v>110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</row>
    <row r="2" spans="1:10" ht="18.75">
      <c r="A2" t="s">
        <v>97</v>
      </c>
      <c r="B2" s="19" t="s">
        <v>85</v>
      </c>
      <c r="C2" s="19">
        <f>VLOOKUP(B2,'取引リスト'!A:E,MATCH('取引リスト'!$E$1,'取引リスト'!$A$1:$E$1,0),FALSE)</f>
        <v>5</v>
      </c>
      <c r="D2" s="22">
        <v>6000</v>
      </c>
      <c r="E2" s="22">
        <v>6000</v>
      </c>
      <c r="F2" s="22">
        <v>3600</v>
      </c>
      <c r="G2" s="23">
        <v>3600</v>
      </c>
      <c r="H2" s="23">
        <v>3600</v>
      </c>
      <c r="I2" s="23">
        <v>3600</v>
      </c>
      <c r="J2" s="23">
        <v>3600</v>
      </c>
    </row>
    <row r="3" spans="2:10" ht="18.75">
      <c r="B3" s="20" t="s">
        <v>111</v>
      </c>
      <c r="C3" s="19">
        <f>VLOOKUP(B3,'取引リスト'!A:E,MATCH('取引リスト'!$E$1,'取引リスト'!$A$1:$E$1,0),FALSE)</f>
        <v>25</v>
      </c>
      <c r="D3" s="23"/>
      <c r="E3" s="23"/>
      <c r="F3" s="23"/>
      <c r="G3" s="23">
        <v>5000</v>
      </c>
      <c r="H3" s="23">
        <f>+G3</f>
        <v>5000</v>
      </c>
      <c r="I3" s="23">
        <f>+H3</f>
        <v>5000</v>
      </c>
      <c r="J3" s="23">
        <f>+I3</f>
        <v>5000</v>
      </c>
    </row>
    <row r="4" spans="4:10" ht="18.75">
      <c r="D4" s="8"/>
      <c r="E4" s="8"/>
      <c r="F4" s="8"/>
      <c r="G4" s="8"/>
      <c r="H4" s="8"/>
      <c r="I4" s="8"/>
      <c r="J4" s="8"/>
    </row>
    <row r="5" spans="1:10" ht="18.75">
      <c r="A5" t="s">
        <v>98</v>
      </c>
      <c r="B5" s="19" t="s">
        <v>99</v>
      </c>
      <c r="C5" s="19" t="str">
        <f>VLOOKUP(B5,'取引リスト'!A:E,MATCH('取引リスト'!$E$1,'取引リスト'!$A$1:$E$1,0),FALSE)</f>
        <v>末</v>
      </c>
      <c r="D5" s="22">
        <v>-2400</v>
      </c>
      <c r="E5" s="23">
        <v>-2400</v>
      </c>
      <c r="F5" s="23">
        <f>+E5</f>
        <v>-2400</v>
      </c>
      <c r="G5" s="23">
        <f>+F5</f>
        <v>-2400</v>
      </c>
      <c r="H5" s="23">
        <f>+G5</f>
        <v>-2400</v>
      </c>
      <c r="I5" s="23">
        <f>+H5</f>
        <v>-2400</v>
      </c>
      <c r="J5" s="23">
        <f>+I5</f>
        <v>-2400</v>
      </c>
    </row>
    <row r="6" spans="2:10" ht="18.75">
      <c r="B6" s="20" t="s">
        <v>100</v>
      </c>
      <c r="C6" s="19">
        <f>VLOOKUP(B6,'取引リスト'!A:E,MATCH('取引リスト'!$E$1,'取引リスト'!$A$1:$E$1,0),FALSE)</f>
        <v>15</v>
      </c>
      <c r="D6" s="23"/>
      <c r="E6" s="23"/>
      <c r="F6" s="23">
        <v>-3000</v>
      </c>
      <c r="G6" s="23">
        <v>-3500</v>
      </c>
      <c r="H6" s="23">
        <f>+G6</f>
        <v>-3500</v>
      </c>
      <c r="I6" s="23">
        <f>+H6</f>
        <v>-3500</v>
      </c>
      <c r="J6" s="23">
        <f>+I6</f>
        <v>-3500</v>
      </c>
    </row>
    <row r="7" spans="4:10" ht="18.75">
      <c r="D7" s="8"/>
      <c r="E7" s="8"/>
      <c r="F7" s="8"/>
      <c r="G7" s="8"/>
      <c r="H7" s="8"/>
      <c r="I7" s="8"/>
      <c r="J7" s="8"/>
    </row>
    <row r="8" spans="1:10" ht="18.75">
      <c r="A8" t="s">
        <v>101</v>
      </c>
      <c r="B8" s="19" t="s">
        <v>35</v>
      </c>
      <c r="C8" s="19" t="str">
        <f>VLOOKUP(B8,'取引リスト'!A:E,MATCH('取引リスト'!$E$1,'取引リスト'!$A$1:$E$1,0),FALSE)</f>
        <v>末</v>
      </c>
      <c r="D8" s="24">
        <v>-250</v>
      </c>
      <c r="E8" s="24">
        <f aca="true" t="shared" si="0" ref="E8:J8">+D8</f>
        <v>-250</v>
      </c>
      <c r="F8" s="24">
        <f t="shared" si="0"/>
        <v>-250</v>
      </c>
      <c r="G8" s="24">
        <f t="shared" si="0"/>
        <v>-250</v>
      </c>
      <c r="H8" s="24">
        <f t="shared" si="0"/>
        <v>-250</v>
      </c>
      <c r="I8" s="24">
        <f t="shared" si="0"/>
        <v>-250</v>
      </c>
      <c r="J8" s="24">
        <f t="shared" si="0"/>
        <v>-250</v>
      </c>
    </row>
    <row r="9" spans="2:10" ht="18.75">
      <c r="B9" s="20" t="s">
        <v>103</v>
      </c>
      <c r="C9" s="19">
        <f>VLOOKUP(B9,'取引リスト'!A:E,MATCH('取引リスト'!$E$1,'取引リスト'!$A$1:$E$1,0),FALSE)</f>
        <v>20</v>
      </c>
      <c r="D9" s="24">
        <v>-300</v>
      </c>
      <c r="E9" s="24">
        <v>-600</v>
      </c>
      <c r="F9" s="24">
        <v>-900</v>
      </c>
      <c r="G9" s="24">
        <f aca="true" t="shared" si="1" ref="G9:J10">+F9</f>
        <v>-900</v>
      </c>
      <c r="H9" s="24">
        <f t="shared" si="1"/>
        <v>-900</v>
      </c>
      <c r="I9" s="24">
        <f t="shared" si="1"/>
        <v>-900</v>
      </c>
      <c r="J9" s="24">
        <f t="shared" si="1"/>
        <v>-900</v>
      </c>
    </row>
    <row r="10" spans="2:10" ht="18.75">
      <c r="B10" s="20" t="s">
        <v>102</v>
      </c>
      <c r="C10" s="19" t="str">
        <f>VLOOKUP(B10,'取引リスト'!A:E,MATCH('取引リスト'!$E$1,'取引リスト'!$A$1:$E$1,0),FALSE)</f>
        <v>末</v>
      </c>
      <c r="D10" s="24">
        <v>-500</v>
      </c>
      <c r="E10" s="24">
        <f>+D10</f>
        <v>-500</v>
      </c>
      <c r="F10" s="24">
        <f>+E10</f>
        <v>-500</v>
      </c>
      <c r="G10" s="24">
        <f t="shared" si="1"/>
        <v>-500</v>
      </c>
      <c r="H10" s="24">
        <f t="shared" si="1"/>
        <v>-500</v>
      </c>
      <c r="I10" s="24">
        <f t="shared" si="1"/>
        <v>-500</v>
      </c>
      <c r="J10" s="24">
        <f t="shared" si="1"/>
        <v>-500</v>
      </c>
    </row>
    <row r="11" spans="4:10" ht="18.75">
      <c r="D11" s="8"/>
      <c r="E11" s="8"/>
      <c r="F11" s="8"/>
      <c r="G11" s="8"/>
      <c r="H11" s="8"/>
      <c r="I11" s="8"/>
      <c r="J11" s="8"/>
    </row>
    <row r="12" spans="1:10" ht="18.75">
      <c r="A12" t="s">
        <v>106</v>
      </c>
      <c r="B12" s="20" t="s">
        <v>107</v>
      </c>
      <c r="C12" s="19">
        <f>VLOOKUP(B12,'取引リスト'!A:E,MATCH('取引リスト'!$E$1,'取引リスト'!$A$1:$E$1,0),FALSE)</f>
        <v>0</v>
      </c>
      <c r="D12" s="24"/>
      <c r="E12" s="24"/>
      <c r="F12" s="24"/>
      <c r="G12" s="24"/>
      <c r="H12" s="24"/>
      <c r="I12" s="24"/>
      <c r="J12" s="24"/>
    </row>
    <row r="13" spans="2:10" ht="18.75">
      <c r="B13" s="20" t="s">
        <v>108</v>
      </c>
      <c r="C13" s="19">
        <v>1</v>
      </c>
      <c r="D13" s="24">
        <v>-1000</v>
      </c>
      <c r="E13" s="24"/>
      <c r="F13" s="24"/>
      <c r="G13" s="24"/>
      <c r="H13" s="24"/>
      <c r="I13" s="24"/>
      <c r="J13" s="24"/>
    </row>
    <row r="14" spans="2:10" ht="18.75">
      <c r="B14" s="20" t="s">
        <v>115</v>
      </c>
      <c r="C14" s="19">
        <v>5</v>
      </c>
      <c r="D14" s="24"/>
      <c r="E14" s="24"/>
      <c r="F14" s="28"/>
      <c r="G14" s="24"/>
      <c r="H14" s="24"/>
      <c r="I14" s="24"/>
      <c r="J14" s="24"/>
    </row>
    <row r="15" spans="2:10" ht="18.75">
      <c r="B15" s="20" t="s">
        <v>116</v>
      </c>
      <c r="C15" s="19">
        <f>VLOOKUP(B15,'取引リスト'!A:E,MATCH('取引リスト'!$E$1,'取引リスト'!$A$1:$E$1,0),FALSE)</f>
        <v>10</v>
      </c>
      <c r="D15" s="24"/>
      <c r="E15" s="24"/>
      <c r="F15" s="24"/>
      <c r="G15" s="28"/>
      <c r="H15" s="24">
        <f aca="true" t="shared" si="2" ref="H15:J16">+G15</f>
        <v>0</v>
      </c>
      <c r="I15" s="24">
        <f t="shared" si="2"/>
        <v>0</v>
      </c>
      <c r="J15" s="24">
        <f t="shared" si="2"/>
        <v>0</v>
      </c>
    </row>
    <row r="16" spans="2:10" ht="18.75">
      <c r="B16" s="20" t="s">
        <v>117</v>
      </c>
      <c r="C16" s="19">
        <f>VLOOKUP(B16,'取引リスト'!A:E,MATCH('取引リスト'!$E$1,'取引リスト'!$A$1:$E$1,0),FALSE)</f>
        <v>10</v>
      </c>
      <c r="D16" s="24"/>
      <c r="E16" s="24"/>
      <c r="F16" s="24"/>
      <c r="G16" s="28"/>
      <c r="H16" s="24">
        <f t="shared" si="2"/>
        <v>0</v>
      </c>
      <c r="I16" s="24">
        <f t="shared" si="2"/>
        <v>0</v>
      </c>
      <c r="J16" s="24">
        <f t="shared" si="2"/>
        <v>0</v>
      </c>
    </row>
    <row r="18" spans="1:10" ht="18.75">
      <c r="A18" t="s">
        <v>118</v>
      </c>
      <c r="B18" s="20" t="s">
        <v>119</v>
      </c>
      <c r="C18" s="19">
        <f>VLOOKUP(B18,'取引リスト'!A:E,MATCH('取引リスト'!$E$1,'取引リスト'!$A$1:$E$1,0),FALSE)</f>
        <v>5</v>
      </c>
      <c r="D18" s="24"/>
      <c r="E18" s="24"/>
      <c r="F18" s="24">
        <v>-5000</v>
      </c>
      <c r="G18" s="24"/>
      <c r="H18" s="24"/>
      <c r="I18" s="24"/>
      <c r="J18" s="24"/>
    </row>
    <row r="19" spans="2:10" ht="18.75">
      <c r="B19" s="18"/>
      <c r="C19" s="18"/>
      <c r="D19" s="24"/>
      <c r="E19" s="24"/>
      <c r="F19" s="24"/>
      <c r="G19" s="24"/>
      <c r="H19" s="24"/>
      <c r="I19" s="24"/>
      <c r="J19" s="24"/>
    </row>
    <row r="20" spans="2:10" ht="18.75">
      <c r="B20" s="18"/>
      <c r="C20" s="18"/>
      <c r="D20" s="24"/>
      <c r="E20" s="24"/>
      <c r="F20" s="24"/>
      <c r="G20" s="24"/>
      <c r="H20" s="24"/>
      <c r="I20" s="24"/>
      <c r="J2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5.421875" style="0" bestFit="1" customWidth="1"/>
    <col min="2" max="2" width="11.00390625" style="0" bestFit="1" customWidth="1"/>
    <col min="3" max="3" width="12.8515625" style="0" bestFit="1" customWidth="1"/>
    <col min="4" max="4" width="5.28125" style="0" bestFit="1" customWidth="1"/>
    <col min="5" max="5" width="7.140625" style="0" bestFit="1" customWidth="1"/>
  </cols>
  <sheetData>
    <row r="1" spans="1:5" ht="18.75">
      <c r="A1" s="18" t="s">
        <v>126</v>
      </c>
      <c r="B1" s="18" t="s">
        <v>89</v>
      </c>
      <c r="C1" s="18" t="s">
        <v>90</v>
      </c>
      <c r="D1" s="18" t="s">
        <v>96</v>
      </c>
      <c r="E1" s="18" t="s">
        <v>91</v>
      </c>
    </row>
    <row r="2" spans="1:5" ht="18.75">
      <c r="A2" s="19" t="s">
        <v>31</v>
      </c>
      <c r="B2" s="18" t="s">
        <v>51</v>
      </c>
      <c r="C2" s="19" t="s">
        <v>66</v>
      </c>
      <c r="D2" s="19"/>
      <c r="E2" s="18"/>
    </row>
    <row r="3" spans="1:5" ht="18.75">
      <c r="A3" s="19" t="s">
        <v>29</v>
      </c>
      <c r="B3" s="18" t="s">
        <v>42</v>
      </c>
      <c r="C3" s="19" t="s">
        <v>70</v>
      </c>
      <c r="D3" s="19"/>
      <c r="E3" s="18"/>
    </row>
    <row r="4" spans="1:5" ht="18.75">
      <c r="A4" s="19" t="s">
        <v>33</v>
      </c>
      <c r="B4" s="18" t="s">
        <v>51</v>
      </c>
      <c r="C4" s="19" t="s">
        <v>66</v>
      </c>
      <c r="D4" s="19"/>
      <c r="E4" s="18"/>
    </row>
    <row r="5" spans="1:5" ht="18.75">
      <c r="A5" s="19" t="s">
        <v>85</v>
      </c>
      <c r="B5" s="18" t="s">
        <v>84</v>
      </c>
      <c r="C5" s="19" t="s">
        <v>66</v>
      </c>
      <c r="D5" s="19"/>
      <c r="E5" s="18">
        <v>5</v>
      </c>
    </row>
    <row r="6" spans="1:5" ht="18.75">
      <c r="A6" s="19" t="s">
        <v>27</v>
      </c>
      <c r="B6" s="18" t="s">
        <v>49</v>
      </c>
      <c r="C6" s="19" t="s">
        <v>66</v>
      </c>
      <c r="D6" s="19"/>
      <c r="E6" s="18">
        <v>20</v>
      </c>
    </row>
    <row r="7" spans="1:5" ht="18.75">
      <c r="A7" s="19" t="s">
        <v>35</v>
      </c>
      <c r="B7" s="18" t="s">
        <v>40</v>
      </c>
      <c r="C7" s="19" t="s">
        <v>66</v>
      </c>
      <c r="D7" s="19"/>
      <c r="E7" s="18" t="s">
        <v>92</v>
      </c>
    </row>
    <row r="8" spans="1:5" ht="18.75">
      <c r="A8" s="3" t="s">
        <v>80</v>
      </c>
      <c r="B8" s="18" t="s">
        <v>82</v>
      </c>
      <c r="C8" s="19" t="s">
        <v>70</v>
      </c>
      <c r="D8" s="19"/>
      <c r="E8" s="18"/>
    </row>
    <row r="9" spans="1:5" ht="18.75">
      <c r="A9" s="19" t="s">
        <v>104</v>
      </c>
      <c r="B9" s="18" t="s">
        <v>49</v>
      </c>
      <c r="C9" s="19" t="s">
        <v>66</v>
      </c>
      <c r="D9" s="19"/>
      <c r="E9" s="18" t="s">
        <v>125</v>
      </c>
    </row>
    <row r="10" spans="1:5" ht="18.75">
      <c r="A10" s="19" t="s">
        <v>57</v>
      </c>
      <c r="B10" s="19" t="s">
        <v>57</v>
      </c>
      <c r="C10" s="19" t="s">
        <v>68</v>
      </c>
      <c r="D10" s="19"/>
      <c r="E10" s="18"/>
    </row>
    <row r="11" spans="1:5" ht="18.75">
      <c r="A11" s="19" t="s">
        <v>108</v>
      </c>
      <c r="B11" s="19" t="str">
        <f>+A11</f>
        <v>役員返済</v>
      </c>
      <c r="C11" s="19" t="s">
        <v>68</v>
      </c>
      <c r="D11" s="19"/>
      <c r="E11" s="18"/>
    </row>
    <row r="12" spans="1:5" ht="18.75">
      <c r="A12" s="19" t="s">
        <v>87</v>
      </c>
      <c r="B12" s="18" t="s">
        <v>55</v>
      </c>
      <c r="C12" s="19" t="s">
        <v>66</v>
      </c>
      <c r="D12" s="19"/>
      <c r="E12" s="18" t="s">
        <v>92</v>
      </c>
    </row>
    <row r="13" spans="1:5" ht="18.75">
      <c r="A13" s="20" t="s">
        <v>112</v>
      </c>
      <c r="B13" s="18" t="s">
        <v>114</v>
      </c>
      <c r="C13" s="19" t="s">
        <v>66</v>
      </c>
      <c r="D13" s="19"/>
      <c r="E13" s="18">
        <v>25</v>
      </c>
    </row>
    <row r="14" spans="1:5" ht="18.75">
      <c r="A14" s="20" t="s">
        <v>100</v>
      </c>
      <c r="B14" s="18" t="s">
        <v>55</v>
      </c>
      <c r="C14" s="19" t="s">
        <v>66</v>
      </c>
      <c r="D14" s="19"/>
      <c r="E14" s="18">
        <v>15</v>
      </c>
    </row>
    <row r="15" spans="1:5" ht="18.75">
      <c r="A15" s="20" t="s">
        <v>119</v>
      </c>
      <c r="B15" s="18" t="s">
        <v>42</v>
      </c>
      <c r="C15" s="19" t="s">
        <v>69</v>
      </c>
      <c r="D15" s="19"/>
      <c r="E15" s="18">
        <v>5</v>
      </c>
    </row>
    <row r="16" spans="1:5" ht="18.75">
      <c r="A16" s="20" t="s">
        <v>115</v>
      </c>
      <c r="B16" s="21" t="s">
        <v>93</v>
      </c>
      <c r="C16" s="19" t="s">
        <v>68</v>
      </c>
      <c r="D16" s="19"/>
      <c r="E16" s="18"/>
    </row>
    <row r="17" spans="1:5" ht="18.75">
      <c r="A17" s="20" t="s">
        <v>116</v>
      </c>
      <c r="B17" s="21" t="s">
        <v>94</v>
      </c>
      <c r="C17" s="19" t="s">
        <v>66</v>
      </c>
      <c r="D17" s="19"/>
      <c r="E17" s="18">
        <v>10</v>
      </c>
    </row>
    <row r="18" spans="1:5" ht="18.75">
      <c r="A18" s="20" t="s">
        <v>117</v>
      </c>
      <c r="B18" s="21" t="s">
        <v>95</v>
      </c>
      <c r="C18" s="19" t="s">
        <v>68</v>
      </c>
      <c r="D18" s="19"/>
      <c r="E18" s="18">
        <v>10</v>
      </c>
    </row>
    <row r="19" spans="1:5" ht="18.75">
      <c r="A19" s="18" t="s">
        <v>129</v>
      </c>
      <c r="B19" s="18" t="s">
        <v>130</v>
      </c>
      <c r="C19" s="19" t="s">
        <v>68</v>
      </c>
      <c r="D19" s="18"/>
      <c r="E19" s="21"/>
    </row>
    <row r="20" spans="1:3" ht="18.75">
      <c r="A20" s="47" t="s">
        <v>133</v>
      </c>
      <c r="B20" s="18" t="s">
        <v>114</v>
      </c>
      <c r="C20" s="19" t="s">
        <v>66</v>
      </c>
    </row>
    <row r="21" spans="1:3" ht="18.75">
      <c r="A21" s="47" t="s">
        <v>134</v>
      </c>
      <c r="B21" s="18" t="s">
        <v>130</v>
      </c>
      <c r="C21" s="19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AF22" sqref="A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21.421875" style="0" bestFit="1" customWidth="1"/>
    <col min="3" max="3" width="13.00390625" style="0" bestFit="1" customWidth="1"/>
  </cols>
  <sheetData>
    <row r="2" spans="1:3" ht="18.75">
      <c r="A2" t="s">
        <v>143</v>
      </c>
      <c r="B2" t="s">
        <v>151</v>
      </c>
      <c r="C2" t="s">
        <v>142</v>
      </c>
    </row>
    <row r="3" ht="18.75">
      <c r="C3" t="s">
        <v>144</v>
      </c>
    </row>
    <row r="5" spans="1:3" ht="18.75">
      <c r="A5" t="s">
        <v>145</v>
      </c>
      <c r="B5" t="s">
        <v>154</v>
      </c>
      <c r="C5" t="s">
        <v>152</v>
      </c>
    </row>
    <row r="6" ht="18.75">
      <c r="C6" t="s">
        <v>153</v>
      </c>
    </row>
    <row r="8" spans="1:3" ht="18.75">
      <c r="A8" t="s">
        <v>146</v>
      </c>
      <c r="B8" t="s">
        <v>140</v>
      </c>
      <c r="C8" t="s">
        <v>141</v>
      </c>
    </row>
    <row r="9" ht="18.75">
      <c r="C9" t="s">
        <v>147</v>
      </c>
    </row>
    <row r="13" ht="18.75">
      <c r="B13" t="s">
        <v>148</v>
      </c>
    </row>
    <row r="14" ht="18.75">
      <c r="B14" t="s">
        <v>149</v>
      </c>
    </row>
    <row r="15" ht="18.75">
      <c r="B15" t="s">
        <v>150</v>
      </c>
    </row>
    <row r="20" ht="18.75">
      <c r="B20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前田吉範</dc:creator>
  <cp:keywords/>
  <dc:description/>
  <cp:lastModifiedBy>前田吉範</cp:lastModifiedBy>
  <dcterms:created xsi:type="dcterms:W3CDTF">2017-08-29T08:09:18Z</dcterms:created>
  <dcterms:modified xsi:type="dcterms:W3CDTF">2018-09-16T10:15:19Z</dcterms:modified>
  <cp:category/>
  <cp:version/>
  <cp:contentType/>
  <cp:contentStatus/>
</cp:coreProperties>
</file>